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xcel-Release\Pruga\"/>
    </mc:Choice>
  </mc:AlternateContent>
  <bookViews>
    <workbookView xWindow="-105" yWindow="-105" windowWidth="19425" windowHeight="10305"/>
  </bookViews>
  <sheets>
    <sheet name="Sheet1" sheetId="1" r:id="rId1"/>
  </sheets>
  <definedNames>
    <definedName name="solver_adj" localSheetId="0" hidden="1">Sheet1!$A$32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Sheet1!$K$123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" l="1"/>
  <c r="N57" i="1" l="1"/>
  <c r="N56" i="1"/>
  <c r="N55" i="1"/>
  <c r="N54" i="1"/>
  <c r="N53" i="1"/>
  <c r="A27" i="1" l="1"/>
  <c r="A26" i="1"/>
  <c r="J54" i="1"/>
  <c r="A13" i="1"/>
  <c r="A8" i="1"/>
  <c r="A6" i="1"/>
  <c r="A7" i="1" s="1"/>
  <c r="A14" i="1" s="1"/>
  <c r="B53" i="1" s="1"/>
  <c r="A21" i="1" l="1"/>
  <c r="A22" i="1" s="1"/>
  <c r="J55" i="1"/>
  <c r="A24" i="1"/>
  <c r="A35" i="1" l="1"/>
  <c r="G58" i="1"/>
  <c r="P58" i="1" s="1"/>
  <c r="J56" i="1"/>
  <c r="L56" i="1" s="1"/>
  <c r="I57" i="1"/>
  <c r="I56" i="1"/>
  <c r="I55" i="1"/>
  <c r="K55" i="1" s="1"/>
  <c r="I54" i="1"/>
  <c r="I53" i="1"/>
  <c r="L53" i="1" s="1"/>
  <c r="G59" i="1" l="1"/>
  <c r="P59" i="1" s="1"/>
  <c r="O58" i="1"/>
  <c r="K54" i="1"/>
  <c r="L54" i="1"/>
  <c r="L55" i="1"/>
  <c r="K53" i="1"/>
  <c r="J57" i="1"/>
  <c r="L57" i="1" s="1"/>
  <c r="K56" i="1"/>
  <c r="C53" i="1"/>
  <c r="G60" i="1" l="1"/>
  <c r="O60" i="1" s="1"/>
  <c r="O59" i="1"/>
  <c r="J58" i="1"/>
  <c r="K57" i="1"/>
  <c r="E53" i="1"/>
  <c r="B54" i="1" s="1"/>
  <c r="C54" i="1" s="1"/>
  <c r="G61" i="1" l="1"/>
  <c r="P61" i="1" s="1"/>
  <c r="P60" i="1"/>
  <c r="E54" i="1"/>
  <c r="B55" i="1" s="1"/>
  <c r="C55" i="1" s="1"/>
  <c r="J59" i="1"/>
  <c r="G62" i="1" l="1"/>
  <c r="O62" i="1" s="1"/>
  <c r="O61" i="1"/>
  <c r="E55" i="1"/>
  <c r="B56" i="1" s="1"/>
  <c r="C56" i="1" s="1"/>
  <c r="E56" i="1" s="1"/>
  <c r="B57" i="1" s="1"/>
  <c r="C57" i="1" s="1"/>
  <c r="E57" i="1" s="1"/>
  <c r="J60" i="1"/>
  <c r="G63" i="1" l="1"/>
  <c r="P62" i="1"/>
  <c r="P63" i="1"/>
  <c r="O63" i="1"/>
  <c r="G64" i="1"/>
  <c r="J61" i="1"/>
  <c r="A15" i="1"/>
  <c r="A25" i="1" s="1"/>
  <c r="A29" i="1" s="1"/>
  <c r="A30" i="1" s="1"/>
  <c r="B58" i="1"/>
  <c r="O64" i="1" l="1"/>
  <c r="P64" i="1"/>
  <c r="G65" i="1"/>
  <c r="J62" i="1"/>
  <c r="C58" i="1"/>
  <c r="D69" i="1"/>
  <c r="N69" i="1" s="1"/>
  <c r="D61" i="1"/>
  <c r="D67" i="1"/>
  <c r="N67" i="1" s="1"/>
  <c r="D59" i="1"/>
  <c r="D74" i="1"/>
  <c r="N74" i="1" s="1"/>
  <c r="D66" i="1"/>
  <c r="N66" i="1" s="1"/>
  <c r="D73" i="1"/>
  <c r="N73" i="1" s="1"/>
  <c r="D65" i="1"/>
  <c r="N65" i="1" s="1"/>
  <c r="D72" i="1"/>
  <c r="N72" i="1" s="1"/>
  <c r="D64" i="1"/>
  <c r="D68" i="1"/>
  <c r="N68" i="1" s="1"/>
  <c r="D60" i="1"/>
  <c r="D71" i="1"/>
  <c r="N71" i="1" s="1"/>
  <c r="D63" i="1"/>
  <c r="D58" i="1"/>
  <c r="D70" i="1"/>
  <c r="N70" i="1" s="1"/>
  <c r="D62" i="1"/>
  <c r="O65" i="1" l="1"/>
  <c r="P65" i="1"/>
  <c r="H60" i="1"/>
  <c r="I60" i="1" s="1"/>
  <c r="L60" i="1" s="1"/>
  <c r="N60" i="1"/>
  <c r="H64" i="1"/>
  <c r="I64" i="1" s="1"/>
  <c r="N64" i="1"/>
  <c r="H59" i="1"/>
  <c r="I59" i="1" s="1"/>
  <c r="L59" i="1" s="1"/>
  <c r="N59" i="1"/>
  <c r="N58" i="1"/>
  <c r="H63" i="1"/>
  <c r="I63" i="1" s="1"/>
  <c r="N63" i="1"/>
  <c r="H61" i="1"/>
  <c r="I61" i="1" s="1"/>
  <c r="L61" i="1" s="1"/>
  <c r="N61" i="1"/>
  <c r="H62" i="1"/>
  <c r="I62" i="1" s="1"/>
  <c r="K62" i="1" s="1"/>
  <c r="N62" i="1"/>
  <c r="H65" i="1"/>
  <c r="I65" i="1" s="1"/>
  <c r="G66" i="1"/>
  <c r="J63" i="1"/>
  <c r="E58" i="1"/>
  <c r="B59" i="1" s="1"/>
  <c r="C59" i="1" s="1"/>
  <c r="F59" i="1" s="1"/>
  <c r="F58" i="1"/>
  <c r="H58" i="1"/>
  <c r="K61" i="1" l="1"/>
  <c r="L62" i="1"/>
  <c r="K59" i="1"/>
  <c r="K60" i="1"/>
  <c r="O66" i="1"/>
  <c r="P66" i="1"/>
  <c r="K63" i="1"/>
  <c r="N123" i="1"/>
  <c r="G67" i="1"/>
  <c r="H66" i="1"/>
  <c r="I66" i="1" s="1"/>
  <c r="J64" i="1"/>
  <c r="L63" i="1"/>
  <c r="E59" i="1"/>
  <c r="B60" i="1" s="1"/>
  <c r="C60" i="1" s="1"/>
  <c r="F60" i="1" s="1"/>
  <c r="I58" i="1"/>
  <c r="L58" i="1" s="1"/>
  <c r="P67" i="1" l="1"/>
  <c r="O67" i="1"/>
  <c r="G68" i="1"/>
  <c r="H67" i="1"/>
  <c r="I67" i="1" s="1"/>
  <c r="J65" i="1"/>
  <c r="L64" i="1"/>
  <c r="K64" i="1"/>
  <c r="K58" i="1"/>
  <c r="E60" i="1"/>
  <c r="B61" i="1" s="1"/>
  <c r="C61" i="1" s="1"/>
  <c r="F61" i="1" s="1"/>
  <c r="O68" i="1" l="1"/>
  <c r="P68" i="1"/>
  <c r="G69" i="1"/>
  <c r="H68" i="1"/>
  <c r="I68" i="1" s="1"/>
  <c r="J66" i="1"/>
  <c r="L65" i="1"/>
  <c r="K65" i="1"/>
  <c r="E61" i="1"/>
  <c r="B62" i="1" s="1"/>
  <c r="C62" i="1" s="1"/>
  <c r="F62" i="1" s="1"/>
  <c r="P69" i="1" l="1"/>
  <c r="O69" i="1"/>
  <c r="G70" i="1"/>
  <c r="H69" i="1"/>
  <c r="I69" i="1" s="1"/>
  <c r="J67" i="1"/>
  <c r="L66" i="1"/>
  <c r="K66" i="1"/>
  <c r="E62" i="1"/>
  <c r="B63" i="1" s="1"/>
  <c r="P70" i="1" l="1"/>
  <c r="O70" i="1"/>
  <c r="G71" i="1"/>
  <c r="H70" i="1"/>
  <c r="I70" i="1" s="1"/>
  <c r="J68" i="1"/>
  <c r="L67" i="1"/>
  <c r="K67" i="1"/>
  <c r="C63" i="1"/>
  <c r="F63" i="1" s="1"/>
  <c r="P71" i="1" l="1"/>
  <c r="O71" i="1"/>
  <c r="H71" i="1"/>
  <c r="I71" i="1" s="1"/>
  <c r="G72" i="1"/>
  <c r="J69" i="1"/>
  <c r="L68" i="1"/>
  <c r="K68" i="1"/>
  <c r="E63" i="1"/>
  <c r="B64" i="1" s="1"/>
  <c r="C64" i="1" s="1"/>
  <c r="F64" i="1" s="1"/>
  <c r="O72" i="1" l="1"/>
  <c r="P72" i="1"/>
  <c r="G73" i="1"/>
  <c r="H72" i="1"/>
  <c r="I72" i="1" s="1"/>
  <c r="J70" i="1"/>
  <c r="L69" i="1"/>
  <c r="K69" i="1"/>
  <c r="E64" i="1"/>
  <c r="B65" i="1" s="1"/>
  <c r="C65" i="1" s="1"/>
  <c r="F65" i="1" s="1"/>
  <c r="P73" i="1" l="1"/>
  <c r="O73" i="1"/>
  <c r="H73" i="1"/>
  <c r="I73" i="1" s="1"/>
  <c r="G74" i="1"/>
  <c r="J71" i="1"/>
  <c r="L70" i="1"/>
  <c r="K70" i="1"/>
  <c r="E65" i="1"/>
  <c r="B66" i="1" s="1"/>
  <c r="C66" i="1" s="1"/>
  <c r="F66" i="1" s="1"/>
  <c r="A31" i="1" l="1"/>
  <c r="A34" i="1" s="1"/>
  <c r="A36" i="1" s="1"/>
  <c r="A37" i="1" s="1"/>
  <c r="O74" i="1"/>
  <c r="O123" i="1" s="1"/>
  <c r="P74" i="1"/>
  <c r="H74" i="1"/>
  <c r="I74" i="1" s="1"/>
  <c r="G75" i="1"/>
  <c r="P75" i="1" s="1"/>
  <c r="J72" i="1"/>
  <c r="L71" i="1"/>
  <c r="K71" i="1"/>
  <c r="E66" i="1"/>
  <c r="B67" i="1" s="1"/>
  <c r="C67" i="1" s="1"/>
  <c r="F67" i="1" s="1"/>
  <c r="A43" i="1" l="1"/>
  <c r="G76" i="1"/>
  <c r="P76" i="1" s="1"/>
  <c r="H75" i="1"/>
  <c r="I75" i="1" s="1"/>
  <c r="J73" i="1"/>
  <c r="L72" i="1"/>
  <c r="K72" i="1"/>
  <c r="E67" i="1"/>
  <c r="B68" i="1" s="1"/>
  <c r="C68" i="1" s="1"/>
  <c r="F68" i="1" s="1"/>
  <c r="G77" i="1" l="1"/>
  <c r="P77" i="1" s="1"/>
  <c r="H76" i="1"/>
  <c r="I76" i="1" s="1"/>
  <c r="J74" i="1"/>
  <c r="K74" i="1" s="1"/>
  <c r="L73" i="1"/>
  <c r="K73" i="1"/>
  <c r="E68" i="1"/>
  <c r="B69" i="1" s="1"/>
  <c r="C69" i="1" s="1"/>
  <c r="F69" i="1" s="1"/>
  <c r="G78" i="1" l="1"/>
  <c r="P78" i="1" s="1"/>
  <c r="H77" i="1"/>
  <c r="I77" i="1" s="1"/>
  <c r="J75" i="1"/>
  <c r="L74" i="1"/>
  <c r="E69" i="1"/>
  <c r="B70" i="1" s="1"/>
  <c r="C70" i="1" s="1"/>
  <c r="F70" i="1" s="1"/>
  <c r="G79" i="1" l="1"/>
  <c r="P79" i="1" s="1"/>
  <c r="H78" i="1"/>
  <c r="I78" i="1" s="1"/>
  <c r="K123" i="1"/>
  <c r="A40" i="1"/>
  <c r="A41" i="1" s="1"/>
  <c r="J76" i="1"/>
  <c r="L75" i="1"/>
  <c r="E70" i="1"/>
  <c r="B71" i="1" s="1"/>
  <c r="C71" i="1" s="1"/>
  <c r="F71" i="1" s="1"/>
  <c r="G80" i="1" l="1"/>
  <c r="P80" i="1" s="1"/>
  <c r="H79" i="1"/>
  <c r="I79" i="1" s="1"/>
  <c r="J77" i="1"/>
  <c r="L76" i="1"/>
  <c r="E71" i="1"/>
  <c r="B72" i="1" s="1"/>
  <c r="C72" i="1" s="1"/>
  <c r="F72" i="1" s="1"/>
  <c r="H80" i="1" l="1"/>
  <c r="I80" i="1" s="1"/>
  <c r="G81" i="1"/>
  <c r="P81" i="1" s="1"/>
  <c r="J78" i="1"/>
  <c r="L77" i="1"/>
  <c r="E72" i="1"/>
  <c r="B73" i="1" s="1"/>
  <c r="G82" i="1" l="1"/>
  <c r="P82" i="1" s="1"/>
  <c r="H81" i="1"/>
  <c r="I81" i="1" s="1"/>
  <c r="J79" i="1"/>
  <c r="L78" i="1"/>
  <c r="C73" i="1"/>
  <c r="F73" i="1" s="1"/>
  <c r="G83" i="1" l="1"/>
  <c r="P83" i="1" s="1"/>
  <c r="H82" i="1"/>
  <c r="I82" i="1" s="1"/>
  <c r="J80" i="1"/>
  <c r="L79" i="1"/>
  <c r="E73" i="1"/>
  <c r="B74" i="1" s="1"/>
  <c r="C74" i="1" s="1"/>
  <c r="A28" i="1" s="1"/>
  <c r="G84" i="1" l="1"/>
  <c r="P84" i="1" s="1"/>
  <c r="H83" i="1"/>
  <c r="I83" i="1" s="1"/>
  <c r="J81" i="1"/>
  <c r="L80" i="1"/>
  <c r="F74" i="1"/>
  <c r="E74" i="1"/>
  <c r="G85" i="1" l="1"/>
  <c r="P85" i="1" s="1"/>
  <c r="H84" i="1"/>
  <c r="I84" i="1" s="1"/>
  <c r="J82" i="1"/>
  <c r="L81" i="1"/>
  <c r="G86" i="1" l="1"/>
  <c r="P86" i="1" s="1"/>
  <c r="H85" i="1"/>
  <c r="I85" i="1" s="1"/>
  <c r="J83" i="1"/>
  <c r="L82" i="1"/>
  <c r="H86" i="1" l="1"/>
  <c r="I86" i="1" s="1"/>
  <c r="G87" i="1"/>
  <c r="P87" i="1" s="1"/>
  <c r="J84" i="1"/>
  <c r="L83" i="1"/>
  <c r="G88" i="1" l="1"/>
  <c r="P88" i="1" s="1"/>
  <c r="H87" i="1"/>
  <c r="I87" i="1" s="1"/>
  <c r="J85" i="1"/>
  <c r="L84" i="1"/>
  <c r="H88" i="1" l="1"/>
  <c r="I88" i="1" s="1"/>
  <c r="G89" i="1"/>
  <c r="P89" i="1" s="1"/>
  <c r="J86" i="1"/>
  <c r="L85" i="1"/>
  <c r="G90" i="1" l="1"/>
  <c r="P90" i="1" s="1"/>
  <c r="H89" i="1"/>
  <c r="I89" i="1" s="1"/>
  <c r="J87" i="1"/>
  <c r="L86" i="1"/>
  <c r="G91" i="1" l="1"/>
  <c r="P91" i="1" s="1"/>
  <c r="H90" i="1"/>
  <c r="I90" i="1" s="1"/>
  <c r="J88" i="1"/>
  <c r="L87" i="1"/>
  <c r="H91" i="1" l="1"/>
  <c r="I91" i="1" s="1"/>
  <c r="G92" i="1"/>
  <c r="P92" i="1" s="1"/>
  <c r="J89" i="1"/>
  <c r="L88" i="1"/>
  <c r="G93" i="1" l="1"/>
  <c r="P93" i="1" s="1"/>
  <c r="H92" i="1"/>
  <c r="I92" i="1" s="1"/>
  <c r="J90" i="1"/>
  <c r="L89" i="1"/>
  <c r="G94" i="1" l="1"/>
  <c r="P94" i="1" s="1"/>
  <c r="H93" i="1"/>
  <c r="I93" i="1" s="1"/>
  <c r="J91" i="1"/>
  <c r="L90" i="1"/>
  <c r="G95" i="1" l="1"/>
  <c r="P95" i="1" s="1"/>
  <c r="H94" i="1"/>
  <c r="I94" i="1" s="1"/>
  <c r="J92" i="1"/>
  <c r="L91" i="1"/>
  <c r="G96" i="1" l="1"/>
  <c r="P96" i="1" s="1"/>
  <c r="H95" i="1"/>
  <c r="I95" i="1" s="1"/>
  <c r="J93" i="1"/>
  <c r="L92" i="1"/>
  <c r="G97" i="1" l="1"/>
  <c r="P97" i="1" s="1"/>
  <c r="H96" i="1"/>
  <c r="I96" i="1" s="1"/>
  <c r="J94" i="1"/>
  <c r="L93" i="1"/>
  <c r="H97" i="1" l="1"/>
  <c r="I97" i="1" s="1"/>
  <c r="G98" i="1"/>
  <c r="P98" i="1" s="1"/>
  <c r="J95" i="1"/>
  <c r="L94" i="1"/>
  <c r="G99" i="1" l="1"/>
  <c r="P99" i="1" s="1"/>
  <c r="H98" i="1"/>
  <c r="I98" i="1" s="1"/>
  <c r="J96" i="1"/>
  <c r="L95" i="1"/>
  <c r="G100" i="1" l="1"/>
  <c r="P100" i="1" s="1"/>
  <c r="H99" i="1"/>
  <c r="I99" i="1" s="1"/>
  <c r="J97" i="1"/>
  <c r="L96" i="1"/>
  <c r="G101" i="1" l="1"/>
  <c r="P101" i="1" s="1"/>
  <c r="H100" i="1"/>
  <c r="I100" i="1" s="1"/>
  <c r="J98" i="1"/>
  <c r="L97" i="1"/>
  <c r="G102" i="1" l="1"/>
  <c r="P102" i="1" s="1"/>
  <c r="H101" i="1"/>
  <c r="I101" i="1" s="1"/>
  <c r="J99" i="1"/>
  <c r="L98" i="1"/>
  <c r="G103" i="1" l="1"/>
  <c r="P103" i="1" s="1"/>
  <c r="H102" i="1"/>
  <c r="I102" i="1" s="1"/>
  <c r="J100" i="1"/>
  <c r="L99" i="1"/>
  <c r="G104" i="1" l="1"/>
  <c r="P104" i="1" s="1"/>
  <c r="H103" i="1"/>
  <c r="I103" i="1" s="1"/>
  <c r="J101" i="1"/>
  <c r="L100" i="1"/>
  <c r="G105" i="1" l="1"/>
  <c r="P105" i="1" s="1"/>
  <c r="H104" i="1"/>
  <c r="I104" i="1" s="1"/>
  <c r="J102" i="1"/>
  <c r="L101" i="1"/>
  <c r="G106" i="1" l="1"/>
  <c r="P106" i="1" s="1"/>
  <c r="H105" i="1"/>
  <c r="I105" i="1" s="1"/>
  <c r="J103" i="1"/>
  <c r="L102" i="1"/>
  <c r="G107" i="1" l="1"/>
  <c r="P107" i="1" s="1"/>
  <c r="H106" i="1"/>
  <c r="I106" i="1" s="1"/>
  <c r="J104" i="1"/>
  <c r="L103" i="1"/>
  <c r="G108" i="1" l="1"/>
  <c r="P108" i="1" s="1"/>
  <c r="H107" i="1"/>
  <c r="I107" i="1" s="1"/>
  <c r="J105" i="1"/>
  <c r="L104" i="1"/>
  <c r="G109" i="1" l="1"/>
  <c r="P109" i="1" s="1"/>
  <c r="H108" i="1"/>
  <c r="I108" i="1" s="1"/>
  <c r="J106" i="1"/>
  <c r="L105" i="1"/>
  <c r="G110" i="1" l="1"/>
  <c r="P110" i="1" s="1"/>
  <c r="H109" i="1"/>
  <c r="I109" i="1" s="1"/>
  <c r="J107" i="1"/>
  <c r="L106" i="1"/>
  <c r="G111" i="1" l="1"/>
  <c r="P111" i="1" s="1"/>
  <c r="H110" i="1"/>
  <c r="I110" i="1" s="1"/>
  <c r="J108" i="1"/>
  <c r="L107" i="1"/>
  <c r="G112" i="1" l="1"/>
  <c r="P112" i="1" s="1"/>
  <c r="H111" i="1"/>
  <c r="I111" i="1" s="1"/>
  <c r="J109" i="1"/>
  <c r="L108" i="1"/>
  <c r="G113" i="1" l="1"/>
  <c r="P113" i="1" s="1"/>
  <c r="H112" i="1"/>
  <c r="I112" i="1" s="1"/>
  <c r="J110" i="1"/>
  <c r="L109" i="1"/>
  <c r="G114" i="1" l="1"/>
  <c r="P114" i="1" s="1"/>
  <c r="H113" i="1"/>
  <c r="I113" i="1" s="1"/>
  <c r="J111" i="1"/>
  <c r="L110" i="1"/>
  <c r="G115" i="1" l="1"/>
  <c r="P115" i="1" s="1"/>
  <c r="H114" i="1"/>
  <c r="I114" i="1" s="1"/>
  <c r="J112" i="1"/>
  <c r="L111" i="1"/>
  <c r="G116" i="1" l="1"/>
  <c r="P116" i="1" s="1"/>
  <c r="H115" i="1"/>
  <c r="I115" i="1" s="1"/>
  <c r="J113" i="1"/>
  <c r="L112" i="1"/>
  <c r="G117" i="1" l="1"/>
  <c r="P117" i="1" s="1"/>
  <c r="H116" i="1"/>
  <c r="I116" i="1" s="1"/>
  <c r="J114" i="1"/>
  <c r="L113" i="1"/>
  <c r="G118" i="1" l="1"/>
  <c r="P118" i="1" s="1"/>
  <c r="H117" i="1"/>
  <c r="I117" i="1" s="1"/>
  <c r="J115" i="1"/>
  <c r="L114" i="1"/>
  <c r="G119" i="1" l="1"/>
  <c r="P119" i="1" s="1"/>
  <c r="H118" i="1"/>
  <c r="I118" i="1" s="1"/>
  <c r="J116" i="1"/>
  <c r="L115" i="1"/>
  <c r="G120" i="1" l="1"/>
  <c r="P120" i="1" s="1"/>
  <c r="H119" i="1"/>
  <c r="I119" i="1" s="1"/>
  <c r="J117" i="1"/>
  <c r="L116" i="1"/>
  <c r="G121" i="1" l="1"/>
  <c r="P121" i="1" s="1"/>
  <c r="H120" i="1"/>
  <c r="I120" i="1" s="1"/>
  <c r="J118" i="1"/>
  <c r="L117" i="1"/>
  <c r="G122" i="1" l="1"/>
  <c r="P122" i="1" s="1"/>
  <c r="H121" i="1"/>
  <c r="I121" i="1" s="1"/>
  <c r="J119" i="1"/>
  <c r="L118" i="1"/>
  <c r="P123" i="1" l="1"/>
  <c r="A49" i="1"/>
  <c r="H122" i="1"/>
  <c r="I122" i="1" s="1"/>
  <c r="J120" i="1"/>
  <c r="L119" i="1"/>
  <c r="J121" i="1" l="1"/>
  <c r="L120" i="1"/>
  <c r="J122" i="1" l="1"/>
  <c r="L122" i="1" s="1"/>
  <c r="L121" i="1"/>
  <c r="L123" i="1" l="1"/>
  <c r="A46" i="1"/>
  <c r="A47" i="1" s="1"/>
</calcChain>
</file>

<file path=xl/sharedStrings.xml><?xml version="1.0" encoding="utf-8"?>
<sst xmlns="http://schemas.openxmlformats.org/spreadsheetml/2006/main" count="83" uniqueCount="72">
  <si>
    <t>CapEx - капитални издатоци - цена на проектот</t>
  </si>
  <si>
    <t>Сопствено учество, процентуално</t>
  </si>
  <si>
    <t>Сопствено учество, износ</t>
  </si>
  <si>
    <t>Стапка на инфлација</t>
  </si>
  <si>
    <t>Премија за ризик на UKEF за Македонија</t>
  </si>
  <si>
    <t>Каматна стапка на UKEF (комбинација од британски фунти и евра)</t>
  </si>
  <si>
    <t>Износ на заемот од UKEF во нултата година</t>
  </si>
  <si>
    <t>Времетраење на проектот (отплата на заемот), години</t>
  </si>
  <si>
    <t>Период на повлекување и грејс период</t>
  </si>
  <si>
    <t>Вредност на заемот, со премија на ризик и камата по грејс периодот</t>
  </si>
  <si>
    <t>Цена на транспортот во нултата година, во евра/(t*km)</t>
  </si>
  <si>
    <t>Годишна стапка на раст на прометот</t>
  </si>
  <si>
    <t>Број на годишни ануитети</t>
  </si>
  <si>
    <t>Годишен ануитет за отплата заемот (константен)</t>
  </si>
  <si>
    <t>Година</t>
  </si>
  <si>
    <t>Камата</t>
  </si>
  <si>
    <t>Отплата</t>
  </si>
  <si>
    <t>Поч. кред.</t>
  </si>
  <si>
    <t>Кр. кредит</t>
  </si>
  <si>
    <t>Готов. тек</t>
  </si>
  <si>
    <t>Износ на една транша од заемот</t>
  </si>
  <si>
    <t>Ануитет</t>
  </si>
  <si>
    <t>Вредност на заемот, со премија на ризик</t>
  </si>
  <si>
    <t>Доб./заг.</t>
  </si>
  <si>
    <t>Годишен приход, заедно со даноци, во нултата година, во милиони евра</t>
  </si>
  <si>
    <t>Резидуална вредност на пругата по 22 години, во денешни евра</t>
  </si>
  <si>
    <t>После 22 години:</t>
  </si>
  <si>
    <t>После 70 години:</t>
  </si>
  <si>
    <t>Индекс на профитабилност, на сопственото учество, profitability index on equity (PI). Мора PI&gt;1</t>
  </si>
  <si>
    <t>Нето сегашна вредност на проектот (NPV). Мора NPV&gt;0</t>
  </si>
  <si>
    <t>Внатрешна стапка на принос (IRR). Мора IRR &gt; r.барано</t>
  </si>
  <si>
    <t>Резидуална вредност на пругата по 70 години, во денешни евра</t>
  </si>
  <si>
    <t>Диск. коеф</t>
  </si>
  <si>
    <t>PV-22</t>
  </si>
  <si>
    <t>PV-70</t>
  </si>
  <si>
    <t>NPV-70</t>
  </si>
  <si>
    <t>NPV-22</t>
  </si>
  <si>
    <t xml:space="preserve"> Прих.-трош.</t>
  </si>
  <si>
    <t>Внатрешна стапка на принос (IRR).Мора IRR &gt; r.барано</t>
  </si>
  <si>
    <t>Дисконтна стапка - барана стапка на принос r.barano</t>
  </si>
  <si>
    <t>Прост период на отплата (payback period), години</t>
  </si>
  <si>
    <t>// (губ.)</t>
  </si>
  <si>
    <t>Годишен принос на инвестицијата, просечен аритметички</t>
  </si>
  <si>
    <t>Принос на инвестицијата -  return on investment (ROI) - после 22 години</t>
  </si>
  <si>
    <t>NPV &lt; 0 : проектот се отфрла, за да се спречи спирала од задолжување</t>
  </si>
  <si>
    <t>Вкупно ануитети и за враќање за кредитот</t>
  </si>
  <si>
    <t>Вкупно ануитети и почетно учество за враќање</t>
  </si>
  <si>
    <t>Кусок на пари за отплата на заемот и почетното учество - загуба по 22 години</t>
  </si>
  <si>
    <t>Проектот се отфрла</t>
  </si>
  <si>
    <t>NPV &lt; 0 при r.барано &lt; IRR: проектот се отфрла</t>
  </si>
  <si>
    <t>Модифицирана внатрешна стапка на принос (MIRR), без вклучена резидуална вредност (неликвидна). Мора MIRR &gt; r.барано</t>
  </si>
  <si>
    <t>Break even (за 22 год.) годишен промет на стоки денеска, во милиони тони годишно за отплата само на ануитетите (без резидуална вредност)</t>
  </si>
  <si>
    <t xml:space="preserve">     За пресм. на MIRR</t>
  </si>
  <si>
    <t>Негативно: проектот се отфрла</t>
  </si>
  <si>
    <t>Преголемо: проектот се отфрла</t>
  </si>
  <si>
    <t>Финансиска анализа на проектот за брза пруга Табановце-Гевгелија</t>
  </si>
  <si>
    <t>SumPV</t>
  </si>
  <si>
    <t>Сите износи се во милиони евра.</t>
  </si>
  <si>
    <t>Менувај само во зелените полиња.</t>
  </si>
  <si>
    <t>Break even (за 22 и 70 год.) годишен промет на стоки денеска, со резидуална вредност, во милиони тони годишно (за NPV=0)</t>
  </si>
  <si>
    <t>Вкупен каматен трошок и премија за ризик</t>
  </si>
  <si>
    <t>PVCF</t>
  </si>
  <si>
    <t>FVCF-22</t>
  </si>
  <si>
    <t>Стапка на реинвестирање (за MIRR)</t>
  </si>
  <si>
    <t>SumFV-22</t>
  </si>
  <si>
    <t>FVCF-70</t>
  </si>
  <si>
    <t>Цена на транспортот за 250 km во нултата година, во евра/t</t>
  </si>
  <si>
    <t>Вкупно приходи-трошоци (EBITDA) за 22 години</t>
  </si>
  <si>
    <t>Дел од приходите (EBITDA) за отплата на ануитетите во нултата година, во мил. евра (до отплатата); EBITDA=0,1*приходи</t>
  </si>
  <si>
    <t>Почетен годишен промет на стоки, во двете насоки, во милиони тони годишно</t>
  </si>
  <si>
    <t>24.4; 10,1</t>
  </si>
  <si>
    <t>(EBITDA)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</si>
</sst>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0_ ;[Red]\-#,##0.00\ "/>
    <numFmt numFmtId="166" formatCode="0.000%"/>
    <numFmt numFmtId="167" formatCode="0.0%"/>
  </numFmts>
  <fonts count="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rial"/>
      <family val="2"/>
    </font>
    <font>
      <sz val="11"/>
      <color rgb="FF00B050"/>
      <name val="Aptos Narrow"/>
      <family val="2"/>
      <scheme val="minor"/>
    </font>
    <font>
      <b/>
      <sz val="11"/>
      <color theme="1"/>
      <name val="Aptos Narrow"/>
      <scheme val="minor"/>
    </font>
    <font>
      <sz val="9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9" fontId="0" fillId="0" borderId="0" xfId="0" applyNumberFormat="1"/>
    <xf numFmtId="0" fontId="0" fillId="2" borderId="0" xfId="0" applyFill="1"/>
    <xf numFmtId="10" fontId="0" fillId="0" borderId="0" xfId="1" applyNumberFormat="1" applyFont="1"/>
    <xf numFmtId="10" fontId="0" fillId="0" borderId="0" xfId="0" applyNumberFormat="1"/>
    <xf numFmtId="0" fontId="0" fillId="0" borderId="0" xfId="0" applyNumberFormat="1"/>
    <xf numFmtId="164" fontId="0" fillId="2" borderId="0" xfId="0" applyNumberFormat="1" applyFill="1"/>
    <xf numFmtId="2" fontId="0" fillId="0" borderId="0" xfId="0" applyNumberFormat="1"/>
    <xf numFmtId="10" fontId="0" fillId="2" borderId="0" xfId="0" applyNumberFormat="1" applyFill="1"/>
    <xf numFmtId="2" fontId="0" fillId="0" borderId="1" xfId="0" applyNumberFormat="1" applyBorder="1"/>
    <xf numFmtId="0" fontId="0" fillId="0" borderId="1" xfId="0" applyBorder="1"/>
    <xf numFmtId="0" fontId="0" fillId="0" borderId="0" xfId="0" applyBorder="1"/>
    <xf numFmtId="2" fontId="0" fillId="0" borderId="0" xfId="0" applyNumberFormat="1" applyBorder="1"/>
    <xf numFmtId="0" fontId="0" fillId="0" borderId="3" xfId="0" applyBorder="1"/>
    <xf numFmtId="0" fontId="0" fillId="0" borderId="2" xfId="0" applyBorder="1"/>
    <xf numFmtId="0" fontId="0" fillId="0" borderId="5" xfId="0" applyBorder="1"/>
    <xf numFmtId="2" fontId="0" fillId="0" borderId="5" xfId="0" applyNumberFormat="1" applyBorder="1"/>
    <xf numFmtId="2" fontId="0" fillId="0" borderId="0" xfId="0" applyNumberFormat="1" applyFill="1" applyBorder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3" xfId="0" applyFill="1" applyBorder="1"/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right"/>
    </xf>
    <xf numFmtId="0" fontId="4" fillId="0" borderId="1" xfId="0" applyFont="1" applyFill="1" applyBorder="1" applyAlignment="1">
      <alignment horizontal="center"/>
    </xf>
    <xf numFmtId="0" fontId="0" fillId="0" borderId="2" xfId="0" applyFill="1" applyBorder="1"/>
    <xf numFmtId="0" fontId="0" fillId="0" borderId="0" xfId="0" applyFill="1" applyBorder="1"/>
    <xf numFmtId="165" fontId="0" fillId="0" borderId="0" xfId="0" applyNumberFormat="1"/>
    <xf numFmtId="166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Fill="1" applyAlignment="1">
      <alignment horizontal="center"/>
    </xf>
    <xf numFmtId="0" fontId="2" fillId="0" borderId="0" xfId="0" applyFont="1"/>
    <xf numFmtId="10" fontId="0" fillId="0" borderId="0" xfId="0" applyNumberFormat="1" applyBorder="1"/>
    <xf numFmtId="0" fontId="5" fillId="0" borderId="1" xfId="0" applyFont="1" applyBorder="1"/>
    <xf numFmtId="0" fontId="6" fillId="0" borderId="0" xfId="0" applyFont="1"/>
    <xf numFmtId="1" fontId="0" fillId="0" borderId="0" xfId="0" applyNumberFormat="1" applyBorder="1"/>
    <xf numFmtId="167" fontId="0" fillId="0" borderId="0" xfId="0" applyNumberFormat="1" applyBorder="1"/>
    <xf numFmtId="10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7" fillId="0" borderId="0" xfId="0" applyFont="1"/>
    <xf numFmtId="2" fontId="0" fillId="0" borderId="0" xfId="0" applyNumberFormat="1" applyFont="1" applyBorder="1"/>
    <xf numFmtId="0" fontId="8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4"/>
  <sheetViews>
    <sheetView tabSelected="1" topLeftCell="A31" workbookViewId="0">
      <selection activeCell="A50" sqref="A50"/>
    </sheetView>
  </sheetViews>
  <sheetFormatPr defaultRowHeight="14.25"/>
  <cols>
    <col min="1" max="1" width="8.875" bestFit="1" customWidth="1"/>
    <col min="9" max="9" width="9" bestFit="1" customWidth="1"/>
    <col min="10" max="10" width="9.5" bestFit="1" customWidth="1"/>
  </cols>
  <sheetData>
    <row r="1" spans="1:8" ht="15">
      <c r="A1" s="1" t="s">
        <v>55</v>
      </c>
    </row>
    <row r="2" spans="1:8">
      <c r="A2" t="s">
        <v>57</v>
      </c>
      <c r="E2" t="s">
        <v>58</v>
      </c>
      <c r="H2" s="3"/>
    </row>
    <row r="4" spans="1:8">
      <c r="A4" s="3">
        <v>2000</v>
      </c>
      <c r="B4" t="s">
        <v>0</v>
      </c>
    </row>
    <row r="5" spans="1:8">
      <c r="A5" s="2">
        <v>0.15</v>
      </c>
      <c r="B5" t="s">
        <v>1</v>
      </c>
    </row>
    <row r="6" spans="1:8">
      <c r="A6">
        <f>A5*A4</f>
        <v>300</v>
      </c>
      <c r="B6" t="s">
        <v>2</v>
      </c>
    </row>
    <row r="7" spans="1:8">
      <c r="A7">
        <f>A4-A6</f>
        <v>1700</v>
      </c>
      <c r="B7" t="s">
        <v>6</v>
      </c>
    </row>
    <row r="8" spans="1:8">
      <c r="A8" s="4">
        <f>0.3*6.24%+0.7*4.04%</f>
        <v>4.7E-2</v>
      </c>
      <c r="B8" t="s">
        <v>5</v>
      </c>
    </row>
    <row r="9" spans="1:8">
      <c r="A9" s="9">
        <v>2.5000000000000001E-2</v>
      </c>
      <c r="B9" t="s">
        <v>3</v>
      </c>
    </row>
    <row r="10" spans="1:8">
      <c r="A10" s="5">
        <v>0.1782</v>
      </c>
      <c r="B10" t="s">
        <v>4</v>
      </c>
    </row>
    <row r="11" spans="1:8">
      <c r="A11">
        <v>22</v>
      </c>
      <c r="B11" t="s">
        <v>7</v>
      </c>
    </row>
    <row r="12" spans="1:8">
      <c r="A12" s="6">
        <v>5</v>
      </c>
      <c r="B12" t="s">
        <v>8</v>
      </c>
    </row>
    <row r="13" spans="1:8">
      <c r="A13" s="6">
        <f>A11-A12</f>
        <v>17</v>
      </c>
      <c r="B13" t="s">
        <v>12</v>
      </c>
    </row>
    <row r="14" spans="1:8">
      <c r="A14" s="6">
        <f>A7*(1+A10)</f>
        <v>2002.9399999999998</v>
      </c>
      <c r="B14" t="s">
        <v>22</v>
      </c>
    </row>
    <row r="15" spans="1:8">
      <c r="A15" s="8">
        <f>E57</f>
        <v>2303.6881918816325</v>
      </c>
      <c r="B15" t="s">
        <v>9</v>
      </c>
    </row>
    <row r="16" spans="1:8">
      <c r="A16" s="3">
        <v>0.1</v>
      </c>
      <c r="B16" t="s">
        <v>10</v>
      </c>
    </row>
    <row r="17" spans="1:12">
      <c r="A17">
        <f>250*A16</f>
        <v>25</v>
      </c>
      <c r="B17" t="s">
        <v>66</v>
      </c>
    </row>
    <row r="18" spans="1:12">
      <c r="A18" s="7">
        <v>3</v>
      </c>
      <c r="B18" t="s">
        <v>69</v>
      </c>
    </row>
    <row r="19" spans="1:12">
      <c r="A19" s="30" t="s">
        <v>70</v>
      </c>
      <c r="B19" t="s">
        <v>59</v>
      </c>
    </row>
    <row r="20" spans="1:12">
      <c r="A20" s="30">
        <v>30.1</v>
      </c>
      <c r="B20" t="s">
        <v>51</v>
      </c>
    </row>
    <row r="21" spans="1:12">
      <c r="A21" s="8">
        <f>A18*A17*(1+0.1*0.28)</f>
        <v>77.100000000000009</v>
      </c>
      <c r="B21" t="s">
        <v>24</v>
      </c>
    </row>
    <row r="22" spans="1:12">
      <c r="A22" s="8">
        <f>0.1*A21+0.1*0.28*A21</f>
        <v>9.868800000000002</v>
      </c>
      <c r="B22" t="s">
        <v>68</v>
      </c>
    </row>
    <row r="23" spans="1:12">
      <c r="A23" s="9">
        <v>0.03</v>
      </c>
      <c r="B23" t="s">
        <v>11</v>
      </c>
    </row>
    <row r="24" spans="1:12">
      <c r="A24">
        <f>A7/A12</f>
        <v>340</v>
      </c>
      <c r="B24" t="s">
        <v>20</v>
      </c>
    </row>
    <row r="25" spans="1:12">
      <c r="A25" s="8">
        <f>A15*A8*(1+A8)^A13/((1+A8)^A13-1)</f>
        <v>199.78223169297345</v>
      </c>
      <c r="B25" t="s">
        <v>13</v>
      </c>
      <c r="L25" s="8"/>
    </row>
    <row r="26" spans="1:12">
      <c r="A26">
        <f>A4*0.6</f>
        <v>1200</v>
      </c>
      <c r="B26" t="s">
        <v>25</v>
      </c>
    </row>
    <row r="27" spans="1:12">
      <c r="A27">
        <f>0.05*A4</f>
        <v>100</v>
      </c>
      <c r="B27" t="s">
        <v>31</v>
      </c>
    </row>
    <row r="28" spans="1:12">
      <c r="A28" s="8">
        <f>SUM(C53:C74)+A7*A10</f>
        <v>1696.297938780541</v>
      </c>
      <c r="B28" t="s">
        <v>60</v>
      </c>
    </row>
    <row r="29" spans="1:12">
      <c r="A29" s="8">
        <f>A13*A25</f>
        <v>3396.2979387805485</v>
      </c>
      <c r="B29" t="s">
        <v>45</v>
      </c>
    </row>
    <row r="30" spans="1:12">
      <c r="A30" s="8">
        <f>A29+A6</f>
        <v>3696.2979387805485</v>
      </c>
      <c r="B30" t="s">
        <v>46</v>
      </c>
    </row>
    <row r="31" spans="1:12">
      <c r="A31" s="8">
        <f>SUM(G58:G74)</f>
        <v>367.35419454151184</v>
      </c>
      <c r="B31" t="s">
        <v>67</v>
      </c>
    </row>
    <row r="32" spans="1:12">
      <c r="A32" s="9">
        <v>0.06</v>
      </c>
      <c r="B32" t="s">
        <v>39</v>
      </c>
    </row>
    <row r="33" spans="1:14">
      <c r="A33" s="9">
        <v>0.05</v>
      </c>
      <c r="B33" t="s">
        <v>63</v>
      </c>
    </row>
    <row r="34" spans="1:14">
      <c r="A34" s="13">
        <f>A30-A31</f>
        <v>3328.9437442390367</v>
      </c>
      <c r="B34" s="12" t="s">
        <v>47</v>
      </c>
      <c r="C34" s="12"/>
      <c r="D34" s="12"/>
      <c r="E34" s="12"/>
      <c r="F34" s="12"/>
      <c r="G34" s="12"/>
      <c r="H34" s="12"/>
      <c r="I34" s="12"/>
      <c r="J34" s="31" t="s">
        <v>48</v>
      </c>
    </row>
    <row r="35" spans="1:14">
      <c r="A35" s="35">
        <f>A4/A22</f>
        <v>202.65888456549931</v>
      </c>
      <c r="B35" s="26" t="s">
        <v>40</v>
      </c>
      <c r="C35" s="12"/>
      <c r="D35" s="12"/>
      <c r="E35" s="12"/>
      <c r="F35" s="12"/>
      <c r="G35" s="12"/>
      <c r="H35" s="12"/>
      <c r="I35" s="12"/>
      <c r="J35" s="31" t="s">
        <v>54</v>
      </c>
    </row>
    <row r="36" spans="1:14">
      <c r="A36" s="36">
        <f>-A34/A6-1</f>
        <v>-12.096479147463455</v>
      </c>
      <c r="B36" s="26" t="s">
        <v>43</v>
      </c>
      <c r="C36" s="12"/>
      <c r="D36" s="12"/>
      <c r="E36" s="12"/>
      <c r="F36" s="12"/>
      <c r="G36" s="12"/>
      <c r="H36" s="12"/>
      <c r="I36" s="12"/>
      <c r="J36" s="31" t="s">
        <v>53</v>
      </c>
    </row>
    <row r="37" spans="1:14">
      <c r="A37" s="36">
        <f>A36/A11</f>
        <v>-0.54983996124833889</v>
      </c>
      <c r="B37" s="26" t="s">
        <v>42</v>
      </c>
      <c r="C37" s="12"/>
      <c r="D37" s="12"/>
      <c r="E37" s="12"/>
      <c r="F37" s="12"/>
      <c r="G37" s="12"/>
      <c r="H37" s="12"/>
      <c r="I37" s="12"/>
    </row>
    <row r="38" spans="1:14">
      <c r="A38" s="13"/>
      <c r="B38" s="12"/>
      <c r="C38" s="12"/>
      <c r="D38" s="12"/>
      <c r="E38" s="12"/>
      <c r="F38" s="12"/>
      <c r="G38" s="12"/>
    </row>
    <row r="39" spans="1:14" ht="15">
      <c r="A39" s="8"/>
      <c r="B39" s="34" t="s">
        <v>26</v>
      </c>
    </row>
    <row r="40" spans="1:14">
      <c r="A40">
        <f>SUM(K53:K74)</f>
        <v>-1186.1095567207917</v>
      </c>
      <c r="B40" t="s">
        <v>29</v>
      </c>
      <c r="H40" s="31" t="s">
        <v>44</v>
      </c>
      <c r="J40" s="27"/>
    </row>
    <row r="41" spans="1:14">
      <c r="A41" s="8">
        <f>(A40+A6)/A6</f>
        <v>-2.9536985224026391</v>
      </c>
      <c r="B41" t="s">
        <v>28</v>
      </c>
      <c r="K41" s="31" t="s">
        <v>48</v>
      </c>
    </row>
    <row r="42" spans="1:14">
      <c r="A42" s="37" t="s">
        <v>41</v>
      </c>
      <c r="B42" t="s">
        <v>38</v>
      </c>
      <c r="H42" s="31" t="s">
        <v>49</v>
      </c>
      <c r="J42" s="27"/>
    </row>
    <row r="43" spans="1:14">
      <c r="A43" s="32">
        <f>(SUM(O58:O74)/ABS(SUM(N53:N74)))^(1/A11)-1</f>
        <v>9.7424735920388361E-3</v>
      </c>
      <c r="B43" s="12" t="s">
        <v>50</v>
      </c>
      <c r="C43" s="12"/>
      <c r="D43" s="12"/>
      <c r="E43" s="12"/>
      <c r="F43" s="12"/>
      <c r="G43" s="12"/>
      <c r="N43" s="31" t="s">
        <v>48</v>
      </c>
    </row>
    <row r="44" spans="1:14">
      <c r="A44" s="32"/>
      <c r="B44" s="12"/>
      <c r="C44" s="12"/>
      <c r="D44" s="12"/>
      <c r="E44" s="12"/>
      <c r="F44" s="12"/>
      <c r="G44" s="12"/>
    </row>
    <row r="45" spans="1:14" ht="15">
      <c r="B45" s="34" t="s">
        <v>27</v>
      </c>
    </row>
    <row r="46" spans="1:14">
      <c r="A46">
        <f>SUM(L53:L122)</f>
        <v>-1345.9832022372971</v>
      </c>
      <c r="B46" t="s">
        <v>29</v>
      </c>
      <c r="H46" s="31" t="s">
        <v>44</v>
      </c>
    </row>
    <row r="47" spans="1:14">
      <c r="A47" s="8">
        <f>(A46+A6)/A6</f>
        <v>-3.4866106741243237</v>
      </c>
      <c r="B47" t="s">
        <v>28</v>
      </c>
      <c r="K47" s="31" t="s">
        <v>48</v>
      </c>
    </row>
    <row r="48" spans="1:14">
      <c r="A48" s="38" t="s">
        <v>41</v>
      </c>
      <c r="B48" t="s">
        <v>30</v>
      </c>
      <c r="H48" s="31" t="s">
        <v>49</v>
      </c>
    </row>
    <row r="49" spans="1:16">
      <c r="A49" s="5">
        <f>(SUM(P58:P122)/ABS(SUM(N53:N74)))^(1/70)-1</f>
        <v>3.5485867086625156E-2</v>
      </c>
      <c r="B49" t="s">
        <v>50</v>
      </c>
      <c r="N49" s="31" t="s">
        <v>48</v>
      </c>
    </row>
    <row r="50" spans="1:16">
      <c r="A50" s="5"/>
      <c r="N50" s="31"/>
    </row>
    <row r="51" spans="1:16">
      <c r="G51" s="41" t="s">
        <v>71</v>
      </c>
      <c r="N51" s="39" t="s">
        <v>52</v>
      </c>
    </row>
    <row r="52" spans="1:16">
      <c r="A52" s="19" t="s">
        <v>14</v>
      </c>
      <c r="B52" s="20" t="s">
        <v>17</v>
      </c>
      <c r="C52" s="20" t="s">
        <v>15</v>
      </c>
      <c r="D52" s="20" t="s">
        <v>21</v>
      </c>
      <c r="E52" s="20" t="s">
        <v>18</v>
      </c>
      <c r="F52" s="20" t="s">
        <v>16</v>
      </c>
      <c r="G52" s="20" t="s">
        <v>37</v>
      </c>
      <c r="H52" s="20" t="s">
        <v>23</v>
      </c>
      <c r="I52" s="20" t="s">
        <v>19</v>
      </c>
      <c r="J52" s="24" t="s">
        <v>32</v>
      </c>
      <c r="K52" s="24" t="s">
        <v>33</v>
      </c>
      <c r="L52" s="24" t="s">
        <v>34</v>
      </c>
      <c r="N52" s="24" t="s">
        <v>61</v>
      </c>
      <c r="O52" s="24" t="s">
        <v>62</v>
      </c>
      <c r="P52" s="24" t="s">
        <v>65</v>
      </c>
    </row>
    <row r="53" spans="1:16">
      <c r="A53" s="14">
        <v>1</v>
      </c>
      <c r="B53" s="8">
        <f>A$14/A$12</f>
        <v>400.58799999999997</v>
      </c>
      <c r="C53" s="8">
        <f>B53*A$8</f>
        <v>18.827635999999998</v>
      </c>
      <c r="D53" s="8"/>
      <c r="E53" s="8">
        <f>B53+C53</f>
        <v>419.41563599999995</v>
      </c>
      <c r="F53" s="8"/>
      <c r="G53" s="17"/>
      <c r="H53" s="16"/>
      <c r="I53">
        <f>-A$4/A$12+A$24</f>
        <v>-60</v>
      </c>
      <c r="J53">
        <v>1</v>
      </c>
      <c r="K53">
        <f>I53*J53</f>
        <v>-60</v>
      </c>
      <c r="L53">
        <f>I53*J53</f>
        <v>-60</v>
      </c>
      <c r="N53">
        <f>I53/(1+A$8)^A53</f>
        <v>-57.306590257879662</v>
      </c>
    </row>
    <row r="54" spans="1:16">
      <c r="A54" s="14">
        <v>2</v>
      </c>
      <c r="B54" s="8">
        <f>E53+A$14/A$12</f>
        <v>820.00363599999991</v>
      </c>
      <c r="C54" s="8">
        <f t="shared" ref="C54:C58" si="0">B54*A$8</f>
        <v>38.540170891999999</v>
      </c>
      <c r="D54" s="8"/>
      <c r="E54" s="8">
        <f>B54+C54</f>
        <v>858.54380689199991</v>
      </c>
      <c r="F54" s="8"/>
      <c r="G54" s="8"/>
      <c r="I54">
        <f>-A$4/A$12+A$24</f>
        <v>-60</v>
      </c>
      <c r="J54">
        <f>J53/(1+A$32)</f>
        <v>0.94339622641509424</v>
      </c>
      <c r="K54">
        <f t="shared" ref="K54:K73" si="1">I54*J54</f>
        <v>-56.603773584905653</v>
      </c>
      <c r="L54">
        <f t="shared" ref="L54:L117" si="2">I54*J54</f>
        <v>-56.603773584905653</v>
      </c>
      <c r="N54">
        <f t="shared" ref="N54:N57" si="3">I54/(1+A$8)^A54</f>
        <v>-54.734088116408472</v>
      </c>
    </row>
    <row r="55" spans="1:16">
      <c r="A55" s="14">
        <v>3</v>
      </c>
      <c r="B55" s="8">
        <f t="shared" ref="B55:B57" si="4">E54+A$14/A$12</f>
        <v>1259.131806892</v>
      </c>
      <c r="C55" s="8">
        <f t="shared" si="0"/>
        <v>59.179194923924001</v>
      </c>
      <c r="D55" s="8"/>
      <c r="E55" s="8">
        <f>B55+C55</f>
        <v>1318.3110018159241</v>
      </c>
      <c r="F55" s="8"/>
      <c r="G55" s="8"/>
      <c r="I55">
        <f>-A$4/A$12+A$24</f>
        <v>-60</v>
      </c>
      <c r="J55">
        <f t="shared" ref="J55:J118" si="5">J54/(1+A$32)</f>
        <v>0.88999644001423983</v>
      </c>
      <c r="K55">
        <f t="shared" si="1"/>
        <v>-53.399786400854389</v>
      </c>
      <c r="L55">
        <f t="shared" si="2"/>
        <v>-53.399786400854389</v>
      </c>
      <c r="N55">
        <f t="shared" si="3"/>
        <v>-52.277066013761676</v>
      </c>
    </row>
    <row r="56" spans="1:16">
      <c r="A56" s="14">
        <v>4</v>
      </c>
      <c r="B56" s="8">
        <f t="shared" si="4"/>
        <v>1718.8990018159241</v>
      </c>
      <c r="C56" s="8">
        <f t="shared" si="0"/>
        <v>80.78825308534843</v>
      </c>
      <c r="D56" s="8"/>
      <c r="E56" s="8">
        <f t="shared" ref="E56:E57" si="6">B56+C56</f>
        <v>1799.6872549012726</v>
      </c>
      <c r="F56" s="8"/>
      <c r="G56" s="8"/>
      <c r="I56">
        <f>-A$4/A$12+A$24</f>
        <v>-60</v>
      </c>
      <c r="J56">
        <f t="shared" si="5"/>
        <v>0.83961928303230171</v>
      </c>
      <c r="K56">
        <f t="shared" si="1"/>
        <v>-50.3771569819381</v>
      </c>
      <c r="L56">
        <f t="shared" si="2"/>
        <v>-50.3771569819381</v>
      </c>
      <c r="N56">
        <f t="shared" si="3"/>
        <v>-49.930340032246114</v>
      </c>
    </row>
    <row r="57" spans="1:16">
      <c r="A57" s="15">
        <v>5</v>
      </c>
      <c r="B57" s="10">
        <f t="shared" si="4"/>
        <v>2200.2752549012725</v>
      </c>
      <c r="C57" s="10">
        <f t="shared" si="0"/>
        <v>103.41293698035982</v>
      </c>
      <c r="D57" s="10"/>
      <c r="E57" s="10">
        <f t="shared" si="6"/>
        <v>2303.6881918816325</v>
      </c>
      <c r="F57" s="10"/>
      <c r="G57" s="10"/>
      <c r="H57" s="11"/>
      <c r="I57" s="11">
        <f>-A$4/A$12+A$24</f>
        <v>-60</v>
      </c>
      <c r="J57" s="11">
        <f t="shared" si="5"/>
        <v>0.79209366323802044</v>
      </c>
      <c r="K57" s="11">
        <f t="shared" si="1"/>
        <v>-47.525619794281226</v>
      </c>
      <c r="L57" s="11">
        <f t="shared" si="2"/>
        <v>-47.525619794281226</v>
      </c>
      <c r="N57">
        <f t="shared" si="3"/>
        <v>-47.688958961075564</v>
      </c>
    </row>
    <row r="58" spans="1:16">
      <c r="A58" s="14">
        <v>6</v>
      </c>
      <c r="B58" s="8">
        <f>E57</f>
        <v>2303.6881918816325</v>
      </c>
      <c r="C58" s="8">
        <f t="shared" si="0"/>
        <v>108.27334501843673</v>
      </c>
      <c r="D58" s="8">
        <f>A$25</f>
        <v>199.78223169297345</v>
      </c>
      <c r="E58" s="8">
        <f>B58+C58-D58</f>
        <v>2212.1793052070961</v>
      </c>
      <c r="F58" s="8">
        <f>D58-C58</f>
        <v>91.508886674536726</v>
      </c>
      <c r="G58" s="8">
        <f>A22*(1+A23+A9)^(A12+1)</f>
        <v>13.607523891371747</v>
      </c>
      <c r="H58" s="8">
        <f>G58-D58</f>
        <v>-186.1747078016017</v>
      </c>
      <c r="I58" s="8">
        <f>H58</f>
        <v>-186.1747078016017</v>
      </c>
      <c r="J58">
        <f t="shared" si="5"/>
        <v>0.747258172866057</v>
      </c>
      <c r="K58">
        <f t="shared" si="1"/>
        <v>-139.12057198569693</v>
      </c>
      <c r="L58">
        <f t="shared" si="2"/>
        <v>-139.12057198569693</v>
      </c>
      <c r="N58">
        <f>-D58/(1+A$8)^A58</f>
        <v>-151.66199694935216</v>
      </c>
      <c r="O58">
        <f>G58*(1+A$33)^(22-A58)</f>
        <v>29.703518113275461</v>
      </c>
      <c r="P58" s="8">
        <f>G58*(1+A$33)^(70-A58)</f>
        <v>308.95430135900745</v>
      </c>
    </row>
    <row r="59" spans="1:16">
      <c r="A59" s="14">
        <v>7</v>
      </c>
      <c r="B59" s="8">
        <f t="shared" ref="B59:B74" si="7">E58</f>
        <v>2212.1793052070961</v>
      </c>
      <c r="C59" s="8">
        <f t="shared" ref="C59:C74" si="8">B59*A$8</f>
        <v>103.97242734473352</v>
      </c>
      <c r="D59" s="8">
        <f t="shared" ref="D59:D74" si="9">A$25</f>
        <v>199.78223169297345</v>
      </c>
      <c r="E59" s="8">
        <f t="shared" ref="E59:E74" si="10">B59+C59-D59</f>
        <v>2116.3695008588566</v>
      </c>
      <c r="F59" s="8">
        <f t="shared" ref="F59:F74" si="11">D59-C59</f>
        <v>95.809804348239936</v>
      </c>
      <c r="G59" s="8">
        <f t="shared" ref="G59:G90" si="12">G58*(1+A$23+A$9)</f>
        <v>14.355937705397192</v>
      </c>
      <c r="H59" s="8">
        <f t="shared" ref="H59:H122" si="13">G59-D59</f>
        <v>-185.42629398757626</v>
      </c>
      <c r="I59" s="8">
        <f t="shared" ref="I59:I121" si="14">H59</f>
        <v>-185.42629398757626</v>
      </c>
      <c r="J59">
        <f t="shared" si="5"/>
        <v>0.70496054043967638</v>
      </c>
      <c r="K59">
        <f t="shared" si="1"/>
        <v>-130.71822042120806</v>
      </c>
      <c r="L59">
        <f t="shared" si="2"/>
        <v>-130.71822042120806</v>
      </c>
      <c r="N59">
        <f t="shared" ref="N59:N73" si="15">-D59/(1+A$8)^A59</f>
        <v>-144.85386528113867</v>
      </c>
      <c r="O59">
        <f t="shared" ref="O59:O73" si="16">G59*(1+A$33)^(22-A59)</f>
        <v>29.844963437624394</v>
      </c>
      <c r="P59" s="8">
        <f t="shared" ref="P59:P121" si="17">G59*(1+A$33)^(70-A59)</f>
        <v>310.4255123178599</v>
      </c>
    </row>
    <row r="60" spans="1:16">
      <c r="A60" s="14">
        <v>8</v>
      </c>
      <c r="B60" s="8">
        <f t="shared" si="7"/>
        <v>2116.3695008588566</v>
      </c>
      <c r="C60" s="8">
        <f t="shared" si="8"/>
        <v>99.469366540366252</v>
      </c>
      <c r="D60" s="8">
        <f t="shared" si="9"/>
        <v>199.78223169297345</v>
      </c>
      <c r="E60" s="8">
        <f t="shared" si="10"/>
        <v>2016.0566357062492</v>
      </c>
      <c r="F60" s="8">
        <f t="shared" si="11"/>
        <v>100.3128651526072</v>
      </c>
      <c r="G60" s="8">
        <f t="shared" si="12"/>
        <v>15.145514279194037</v>
      </c>
      <c r="H60" s="8">
        <f t="shared" si="13"/>
        <v>-184.63671741377942</v>
      </c>
      <c r="I60" s="8">
        <f t="shared" si="14"/>
        <v>-184.63671741377942</v>
      </c>
      <c r="J60">
        <f t="shared" si="5"/>
        <v>0.66505711362233622</v>
      </c>
      <c r="K60">
        <f t="shared" si="1"/>
        <v>-122.79396235191109</v>
      </c>
      <c r="L60">
        <f t="shared" si="2"/>
        <v>-122.79396235191109</v>
      </c>
      <c r="N60">
        <f t="shared" si="15"/>
        <v>-138.35135174893855</v>
      </c>
      <c r="O60">
        <f t="shared" si="16"/>
        <v>29.987082311136881</v>
      </c>
      <c r="P60" s="8">
        <f t="shared" si="17"/>
        <v>311.90372904318286</v>
      </c>
    </row>
    <row r="61" spans="1:16">
      <c r="A61" s="14">
        <v>9</v>
      </c>
      <c r="B61" s="8">
        <f t="shared" si="7"/>
        <v>2016.0566357062492</v>
      </c>
      <c r="C61" s="8">
        <f t="shared" si="8"/>
        <v>94.754661878193716</v>
      </c>
      <c r="D61" s="8">
        <f t="shared" si="9"/>
        <v>199.78223169297345</v>
      </c>
      <c r="E61" s="8">
        <f t="shared" si="10"/>
        <v>1911.0290658914694</v>
      </c>
      <c r="F61" s="8">
        <f t="shared" si="11"/>
        <v>105.02756981477974</v>
      </c>
      <c r="G61" s="8">
        <f t="shared" si="12"/>
        <v>15.978517564549708</v>
      </c>
      <c r="H61" s="8">
        <f t="shared" si="13"/>
        <v>-183.80371412842374</v>
      </c>
      <c r="I61" s="8">
        <f t="shared" si="14"/>
        <v>-183.80371412842374</v>
      </c>
      <c r="J61">
        <f t="shared" si="5"/>
        <v>0.62741237134182659</v>
      </c>
      <c r="K61">
        <f t="shared" si="1"/>
        <v>-115.32072414274953</v>
      </c>
      <c r="L61">
        <f t="shared" si="2"/>
        <v>-115.32072414274953</v>
      </c>
      <c r="N61">
        <f t="shared" si="15"/>
        <v>-132.14073710500341</v>
      </c>
      <c r="O61">
        <f t="shared" si="16"/>
        <v>30.129877941189918</v>
      </c>
      <c r="P61" s="8">
        <f t="shared" si="17"/>
        <v>313.38898489576957</v>
      </c>
    </row>
    <row r="62" spans="1:16">
      <c r="A62" s="14">
        <v>10</v>
      </c>
      <c r="B62" s="8">
        <f t="shared" si="7"/>
        <v>1911.0290658914694</v>
      </c>
      <c r="C62" s="8">
        <f t="shared" si="8"/>
        <v>89.818366096899055</v>
      </c>
      <c r="D62" s="8">
        <f t="shared" si="9"/>
        <v>199.78223169297345</v>
      </c>
      <c r="E62" s="8">
        <f t="shared" si="10"/>
        <v>1801.065200295395</v>
      </c>
      <c r="F62" s="8">
        <f t="shared" si="11"/>
        <v>109.9638655960744</v>
      </c>
      <c r="G62" s="8">
        <f t="shared" si="12"/>
        <v>16.857336030599942</v>
      </c>
      <c r="H62" s="8">
        <f t="shared" si="13"/>
        <v>-182.9248956623735</v>
      </c>
      <c r="I62" s="8">
        <f t="shared" si="14"/>
        <v>-182.9248956623735</v>
      </c>
      <c r="J62">
        <f t="shared" si="5"/>
        <v>0.59189846353002507</v>
      </c>
      <c r="K62">
        <f t="shared" si="1"/>
        <v>-108.27296468394903</v>
      </c>
      <c r="L62">
        <f t="shared" si="2"/>
        <v>-108.27296468394903</v>
      </c>
      <c r="N62">
        <f t="shared" si="15"/>
        <v>-126.20891796084378</v>
      </c>
      <c r="O62">
        <f t="shared" si="16"/>
        <v>30.273353550433676</v>
      </c>
      <c r="P62" s="8">
        <f t="shared" si="17"/>
        <v>314.88131339527314</v>
      </c>
    </row>
    <row r="63" spans="1:16">
      <c r="A63" s="14">
        <v>11</v>
      </c>
      <c r="B63" s="8">
        <f t="shared" si="7"/>
        <v>1801.065200295395</v>
      </c>
      <c r="C63" s="8">
        <f t="shared" si="8"/>
        <v>84.65006441388357</v>
      </c>
      <c r="D63" s="8">
        <f t="shared" si="9"/>
        <v>199.78223169297345</v>
      </c>
      <c r="E63" s="8">
        <f t="shared" si="10"/>
        <v>1685.933033016305</v>
      </c>
      <c r="F63" s="8">
        <f t="shared" si="11"/>
        <v>115.13216727908988</v>
      </c>
      <c r="G63" s="8">
        <f t="shared" si="12"/>
        <v>17.784489512282939</v>
      </c>
      <c r="H63" s="8">
        <f t="shared" si="13"/>
        <v>-181.99774218069052</v>
      </c>
      <c r="I63" s="8">
        <f t="shared" si="14"/>
        <v>-181.99774218069052</v>
      </c>
      <c r="J63">
        <f t="shared" si="5"/>
        <v>0.55839477691511796</v>
      </c>
      <c r="K63">
        <f t="shared" si="1"/>
        <v>-101.62658864404185</v>
      </c>
      <c r="L63">
        <f t="shared" si="2"/>
        <v>-101.62658864404185</v>
      </c>
      <c r="N63">
        <f t="shared" si="15"/>
        <v>-120.54337914120705</v>
      </c>
      <c r="O63">
        <f t="shared" si="16"/>
        <v>30.417512376864316</v>
      </c>
      <c r="P63" s="8">
        <f t="shared" si="17"/>
        <v>316.38074822096496</v>
      </c>
    </row>
    <row r="64" spans="1:16">
      <c r="A64" s="14">
        <v>12</v>
      </c>
      <c r="B64" s="8">
        <f t="shared" si="7"/>
        <v>1685.933033016305</v>
      </c>
      <c r="C64" s="8">
        <f t="shared" si="8"/>
        <v>79.238852551766328</v>
      </c>
      <c r="D64" s="8">
        <f t="shared" si="9"/>
        <v>199.78223169297345</v>
      </c>
      <c r="E64" s="8">
        <f t="shared" si="10"/>
        <v>1565.3896538750978</v>
      </c>
      <c r="F64" s="8">
        <f t="shared" si="11"/>
        <v>120.54337914120713</v>
      </c>
      <c r="G64" s="8">
        <f t="shared" si="12"/>
        <v>18.7626364354585</v>
      </c>
      <c r="H64" s="8">
        <f t="shared" si="13"/>
        <v>-181.01959525751496</v>
      </c>
      <c r="I64" s="8">
        <f t="shared" si="14"/>
        <v>-181.01959525751496</v>
      </c>
      <c r="J64">
        <f t="shared" si="5"/>
        <v>0.52678752539162066</v>
      </c>
      <c r="K64">
        <f t="shared" si="1"/>
        <v>-95.35886463309906</v>
      </c>
      <c r="L64">
        <f t="shared" si="2"/>
        <v>-95.35886463309906</v>
      </c>
      <c r="N64">
        <f t="shared" si="15"/>
        <v>-115.13216727908984</v>
      </c>
      <c r="O64">
        <f t="shared" si="16"/>
        <v>30.562357673897001</v>
      </c>
      <c r="P64" s="8">
        <f t="shared" si="17"/>
        <v>317.88732321249336</v>
      </c>
    </row>
    <row r="65" spans="1:16">
      <c r="A65" s="14">
        <v>13</v>
      </c>
      <c r="B65" s="8">
        <f t="shared" si="7"/>
        <v>1565.3896538750978</v>
      </c>
      <c r="C65" s="8">
        <f t="shared" si="8"/>
        <v>73.573313732129591</v>
      </c>
      <c r="D65" s="8">
        <f t="shared" si="9"/>
        <v>199.78223169297345</v>
      </c>
      <c r="E65" s="8">
        <f t="shared" si="10"/>
        <v>1439.180735914254</v>
      </c>
      <c r="F65" s="8">
        <f t="shared" si="11"/>
        <v>126.20891796084386</v>
      </c>
      <c r="G65" s="8">
        <f t="shared" si="12"/>
        <v>19.794581439408717</v>
      </c>
      <c r="H65" s="8">
        <f t="shared" si="13"/>
        <v>-179.98765025356474</v>
      </c>
      <c r="I65" s="8">
        <f t="shared" si="14"/>
        <v>-179.98765025356474</v>
      </c>
      <c r="J65">
        <f t="shared" si="5"/>
        <v>0.49696936357700061</v>
      </c>
      <c r="K65">
        <f t="shared" si="1"/>
        <v>-89.448347998233842</v>
      </c>
      <c r="L65">
        <f t="shared" si="2"/>
        <v>-89.448347998233842</v>
      </c>
      <c r="N65">
        <f t="shared" si="15"/>
        <v>-109.96386559607436</v>
      </c>
      <c r="O65">
        <f t="shared" si="16"/>
        <v>30.707892710439364</v>
      </c>
      <c r="P65" s="8">
        <f t="shared" si="17"/>
        <v>319.40107237064808</v>
      </c>
    </row>
    <row r="66" spans="1:16">
      <c r="A66" s="14">
        <v>14</v>
      </c>
      <c r="B66" s="8">
        <f t="shared" si="7"/>
        <v>1439.180735914254</v>
      </c>
      <c r="C66" s="8">
        <f t="shared" si="8"/>
        <v>67.641494587969945</v>
      </c>
      <c r="D66" s="8">
        <f t="shared" si="9"/>
        <v>199.78223169297345</v>
      </c>
      <c r="E66" s="8">
        <f t="shared" si="10"/>
        <v>1307.0399988092504</v>
      </c>
      <c r="F66" s="8">
        <f t="shared" si="11"/>
        <v>132.1407371050035</v>
      </c>
      <c r="G66" s="8">
        <f t="shared" si="12"/>
        <v>20.883283418576195</v>
      </c>
      <c r="H66" s="8">
        <f t="shared" si="13"/>
        <v>-178.89894827439727</v>
      </c>
      <c r="I66" s="8">
        <f t="shared" si="14"/>
        <v>-178.89894827439727</v>
      </c>
      <c r="J66">
        <f t="shared" si="5"/>
        <v>0.46883902224245338</v>
      </c>
      <c r="K66">
        <f t="shared" si="1"/>
        <v>-83.874807989171657</v>
      </c>
      <c r="L66">
        <f t="shared" si="2"/>
        <v>-83.874807989171657</v>
      </c>
      <c r="N66">
        <f t="shared" si="15"/>
        <v>-105.02756981477972</v>
      </c>
      <c r="O66">
        <f t="shared" si="16"/>
        <v>30.854120770965263</v>
      </c>
      <c r="P66" s="8">
        <f t="shared" si="17"/>
        <v>320.9220298581273</v>
      </c>
    </row>
    <row r="67" spans="1:16">
      <c r="A67" s="14">
        <v>15</v>
      </c>
      <c r="B67" s="8">
        <f t="shared" si="7"/>
        <v>1307.0399988092504</v>
      </c>
      <c r="C67" s="8">
        <f t="shared" si="8"/>
        <v>61.430879944034771</v>
      </c>
      <c r="D67" s="8">
        <f t="shared" si="9"/>
        <v>199.78223169297345</v>
      </c>
      <c r="E67" s="8">
        <f t="shared" si="10"/>
        <v>1168.6886470603117</v>
      </c>
      <c r="F67" s="8">
        <f t="shared" si="11"/>
        <v>138.35135174893867</v>
      </c>
      <c r="G67" s="8">
        <f t="shared" si="12"/>
        <v>22.031864006597885</v>
      </c>
      <c r="H67" s="8">
        <f t="shared" si="13"/>
        <v>-177.75036768637557</v>
      </c>
      <c r="I67" s="8">
        <f t="shared" si="14"/>
        <v>-177.75036768637557</v>
      </c>
      <c r="J67">
        <f t="shared" si="5"/>
        <v>0.44230096437967298</v>
      </c>
      <c r="K67">
        <f t="shared" si="1"/>
        <v>-78.619159046525368</v>
      </c>
      <c r="L67">
        <f t="shared" si="2"/>
        <v>-78.619159046525368</v>
      </c>
      <c r="N67">
        <f t="shared" si="15"/>
        <v>-100.31286515260719</v>
      </c>
      <c r="O67">
        <f t="shared" si="16"/>
        <v>31.001045155588912</v>
      </c>
      <c r="P67" s="8">
        <f t="shared" si="17"/>
        <v>322.45023000030886</v>
      </c>
    </row>
    <row r="68" spans="1:16">
      <c r="A68" s="14">
        <v>16</v>
      </c>
      <c r="B68" s="8">
        <f t="shared" si="7"/>
        <v>1168.6886470603117</v>
      </c>
      <c r="C68" s="8">
        <f t="shared" si="8"/>
        <v>54.928366411834652</v>
      </c>
      <c r="D68" s="8">
        <f t="shared" si="9"/>
        <v>199.78223169297345</v>
      </c>
      <c r="E68" s="8">
        <f t="shared" si="10"/>
        <v>1023.834781779173</v>
      </c>
      <c r="F68" s="8">
        <f t="shared" si="11"/>
        <v>144.85386528113881</v>
      </c>
      <c r="G68" s="8">
        <f t="shared" si="12"/>
        <v>23.243616526960768</v>
      </c>
      <c r="H68" s="8">
        <f t="shared" si="13"/>
        <v>-176.53861516601268</v>
      </c>
      <c r="I68" s="8">
        <f t="shared" si="14"/>
        <v>-176.53861516601268</v>
      </c>
      <c r="J68">
        <f t="shared" si="5"/>
        <v>0.41726506073554054</v>
      </c>
      <c r="K68">
        <f t="shared" si="1"/>
        <v>-73.663395979414503</v>
      </c>
      <c r="L68">
        <f t="shared" si="2"/>
        <v>-73.663395979414503</v>
      </c>
      <c r="N68">
        <f t="shared" si="15"/>
        <v>-95.809804348239936</v>
      </c>
      <c r="O68">
        <f t="shared" si="16"/>
        <v>31.148669180139326</v>
      </c>
      <c r="P68" s="8">
        <f t="shared" si="17"/>
        <v>323.98570728602454</v>
      </c>
    </row>
    <row r="69" spans="1:16">
      <c r="A69" s="14">
        <v>17</v>
      </c>
      <c r="B69" s="8">
        <f t="shared" si="7"/>
        <v>1023.834781779173</v>
      </c>
      <c r="C69" s="8">
        <f t="shared" si="8"/>
        <v>48.120234743621133</v>
      </c>
      <c r="D69" s="8">
        <f t="shared" si="9"/>
        <v>199.78223169297345</v>
      </c>
      <c r="E69" s="8">
        <f t="shared" si="10"/>
        <v>872.17278482982056</v>
      </c>
      <c r="F69" s="8">
        <f t="shared" si="11"/>
        <v>151.66199694935233</v>
      </c>
      <c r="G69" s="8">
        <f t="shared" si="12"/>
        <v>24.522015435943608</v>
      </c>
      <c r="H69" s="8">
        <f t="shared" si="13"/>
        <v>-175.26021625702984</v>
      </c>
      <c r="I69" s="8">
        <f t="shared" si="14"/>
        <v>-175.26021625702984</v>
      </c>
      <c r="J69">
        <f t="shared" si="5"/>
        <v>0.39364628371277405</v>
      </c>
      <c r="K69">
        <f t="shared" si="1"/>
        <v>-68.990532812276896</v>
      </c>
      <c r="L69">
        <f t="shared" si="2"/>
        <v>-68.990532812276896</v>
      </c>
      <c r="N69">
        <f t="shared" si="15"/>
        <v>-91.508886674536726</v>
      </c>
      <c r="O69">
        <f t="shared" si="16"/>
        <v>31.296996176235229</v>
      </c>
      <c r="P69" s="8">
        <f t="shared" si="17"/>
        <v>325.52849636833895</v>
      </c>
    </row>
    <row r="70" spans="1:16">
      <c r="A70" s="14">
        <v>18</v>
      </c>
      <c r="B70" s="8">
        <f t="shared" si="7"/>
        <v>872.17278482982056</v>
      </c>
      <c r="C70" s="8">
        <f t="shared" si="8"/>
        <v>40.992120887001569</v>
      </c>
      <c r="D70" s="8">
        <f t="shared" si="9"/>
        <v>199.78223169297345</v>
      </c>
      <c r="E70" s="8">
        <f t="shared" si="10"/>
        <v>713.38267402384861</v>
      </c>
      <c r="F70" s="8">
        <f t="shared" si="11"/>
        <v>158.79011080597189</v>
      </c>
      <c r="G70" s="8">
        <f t="shared" si="12"/>
        <v>25.870726284920504</v>
      </c>
      <c r="H70" s="8">
        <f t="shared" si="13"/>
        <v>-173.91150540805296</v>
      </c>
      <c r="I70" s="8">
        <f t="shared" si="14"/>
        <v>-173.91150540805296</v>
      </c>
      <c r="J70">
        <f t="shared" si="5"/>
        <v>0.37136441859695662</v>
      </c>
      <c r="K70">
        <f t="shared" si="1"/>
        <v>-64.584545093183067</v>
      </c>
      <c r="L70">
        <f t="shared" si="2"/>
        <v>-64.584545093183067</v>
      </c>
      <c r="N70">
        <f t="shared" si="15"/>
        <v>-87.401037893540348</v>
      </c>
      <c r="O70">
        <f t="shared" si="16"/>
        <v>31.446029491360154</v>
      </c>
      <c r="P70" s="8">
        <f t="shared" si="17"/>
        <v>327.07863206533102</v>
      </c>
    </row>
    <row r="71" spans="1:16">
      <c r="A71" s="14">
        <v>19</v>
      </c>
      <c r="B71" s="8">
        <f t="shared" si="7"/>
        <v>713.38267402384861</v>
      </c>
      <c r="C71" s="8">
        <f t="shared" si="8"/>
        <v>33.528985679120886</v>
      </c>
      <c r="D71" s="8">
        <f t="shared" si="9"/>
        <v>199.78223169297345</v>
      </c>
      <c r="E71" s="8">
        <f t="shared" si="10"/>
        <v>547.12942800999599</v>
      </c>
      <c r="F71" s="8">
        <f t="shared" si="11"/>
        <v>166.25324601385256</v>
      </c>
      <c r="G71" s="8">
        <f t="shared" si="12"/>
        <v>27.29361623059113</v>
      </c>
      <c r="H71" s="8">
        <f t="shared" si="13"/>
        <v>-172.48861546238231</v>
      </c>
      <c r="I71" s="8">
        <f t="shared" si="14"/>
        <v>-172.48861546238231</v>
      </c>
      <c r="J71">
        <f t="shared" si="5"/>
        <v>0.35034379112920433</v>
      </c>
      <c r="K71">
        <f t="shared" si="1"/>
        <v>-60.430315467718515</v>
      </c>
      <c r="L71">
        <f t="shared" si="2"/>
        <v>-60.430315467718515</v>
      </c>
      <c r="N71">
        <f t="shared" si="15"/>
        <v>-83.47759111130884</v>
      </c>
      <c r="O71">
        <f t="shared" si="16"/>
        <v>31.59577248893806</v>
      </c>
      <c r="P71" s="8">
        <f t="shared" si="17"/>
        <v>328.63614936088021</v>
      </c>
    </row>
    <row r="72" spans="1:16">
      <c r="A72" s="14">
        <v>20</v>
      </c>
      <c r="B72" s="8">
        <f t="shared" si="7"/>
        <v>547.12942800999599</v>
      </c>
      <c r="C72" s="8">
        <f t="shared" si="8"/>
        <v>25.715083116469813</v>
      </c>
      <c r="D72" s="8">
        <f t="shared" si="9"/>
        <v>199.78223169297345</v>
      </c>
      <c r="E72" s="8">
        <f t="shared" si="10"/>
        <v>373.06227943349234</v>
      </c>
      <c r="F72" s="8">
        <f t="shared" si="11"/>
        <v>174.06714857650366</v>
      </c>
      <c r="G72" s="8">
        <f t="shared" si="12"/>
        <v>28.794765123273642</v>
      </c>
      <c r="H72" s="8">
        <f t="shared" si="13"/>
        <v>-170.98746656969982</v>
      </c>
      <c r="I72" s="8">
        <f t="shared" si="14"/>
        <v>-170.98746656969982</v>
      </c>
      <c r="J72">
        <f t="shared" si="5"/>
        <v>0.33051301049924936</v>
      </c>
      <c r="K72">
        <f t="shared" si="1"/>
        <v>-56.513582333591245</v>
      </c>
      <c r="L72">
        <f t="shared" si="2"/>
        <v>-56.513582333591245</v>
      </c>
      <c r="N72">
        <f t="shared" si="15"/>
        <v>-79.730268492176549</v>
      </c>
      <c r="O72">
        <f t="shared" si="16"/>
        <v>31.746228548409192</v>
      </c>
      <c r="P72" s="8">
        <f t="shared" si="17"/>
        <v>330.20108340545585</v>
      </c>
    </row>
    <row r="73" spans="1:16">
      <c r="A73" s="14">
        <v>21</v>
      </c>
      <c r="B73" s="13">
        <f t="shared" si="7"/>
        <v>373.06227943349234</v>
      </c>
      <c r="C73" s="13">
        <f t="shared" si="8"/>
        <v>17.533927133374139</v>
      </c>
      <c r="D73" s="13">
        <f t="shared" si="9"/>
        <v>199.78223169297345</v>
      </c>
      <c r="E73" s="13">
        <f t="shared" si="10"/>
        <v>190.81397487389305</v>
      </c>
      <c r="F73" s="13">
        <f t="shared" si="11"/>
        <v>182.24830455959932</v>
      </c>
      <c r="G73" s="13">
        <f t="shared" si="12"/>
        <v>30.378477205053692</v>
      </c>
      <c r="H73" s="13">
        <f t="shared" si="13"/>
        <v>-169.40375448791977</v>
      </c>
      <c r="I73" s="8">
        <f t="shared" si="14"/>
        <v>-169.40375448791977</v>
      </c>
      <c r="J73">
        <f t="shared" si="5"/>
        <v>0.31180472688608429</v>
      </c>
      <c r="K73">
        <f t="shared" si="1"/>
        <v>-52.820891401583097</v>
      </c>
      <c r="L73">
        <f t="shared" si="2"/>
        <v>-52.820891401583097</v>
      </c>
      <c r="N73">
        <f t="shared" si="15"/>
        <v>-76.151163793864896</v>
      </c>
      <c r="O73">
        <f t="shared" si="16"/>
        <v>31.897401065306376</v>
      </c>
      <c r="P73" s="8">
        <f t="shared" si="17"/>
        <v>331.77346951691038</v>
      </c>
    </row>
    <row r="74" spans="1:16">
      <c r="A74" s="23">
        <v>22</v>
      </c>
      <c r="B74" s="10">
        <f t="shared" si="7"/>
        <v>190.81397487389305</v>
      </c>
      <c r="C74" s="10">
        <f t="shared" si="8"/>
        <v>8.9682568190729732</v>
      </c>
      <c r="D74" s="10">
        <f t="shared" si="9"/>
        <v>199.78223169297345</v>
      </c>
      <c r="E74" s="10">
        <f t="shared" si="10"/>
        <v>-7.4464878707658499E-12</v>
      </c>
      <c r="F74" s="10">
        <f t="shared" si="11"/>
        <v>190.81397487390049</v>
      </c>
      <c r="G74" s="13">
        <f t="shared" si="12"/>
        <v>32.049293451331643</v>
      </c>
      <c r="H74" s="13">
        <f t="shared" si="13"/>
        <v>-167.73293824164182</v>
      </c>
      <c r="I74" s="40">
        <f>H74</f>
        <v>-167.73293824164182</v>
      </c>
      <c r="J74" s="11">
        <f t="shared" si="5"/>
        <v>0.294155402722721</v>
      </c>
      <c r="K74" s="33">
        <f>I74*J74+A26*(1+A9)^A11/(1+A32)^A11</f>
        <v>523.95425502554099</v>
      </c>
      <c r="L74" s="12">
        <f t="shared" si="2"/>
        <v>-49.339549998335443</v>
      </c>
      <c r="N74" s="11">
        <f>-D74/(1+A$8)^A74</f>
        <v>-72.732725686594947</v>
      </c>
      <c r="O74" s="11">
        <f>G74*(1+A$33)^(22-A74)+A26*(1+A9)^22</f>
        <v>2097.9349705474478</v>
      </c>
      <c r="P74" s="8">
        <f t="shared" si="17"/>
        <v>333.35334318127656</v>
      </c>
    </row>
    <row r="75" spans="1:16">
      <c r="A75" s="22">
        <v>23</v>
      </c>
      <c r="C75" s="8"/>
      <c r="D75" s="8"/>
      <c r="F75" s="8"/>
      <c r="G75" s="8">
        <f t="shared" si="12"/>
        <v>33.812004591154881</v>
      </c>
      <c r="H75" s="18">
        <f t="shared" si="13"/>
        <v>33.812004591154881</v>
      </c>
      <c r="I75" s="8">
        <f t="shared" si="14"/>
        <v>33.812004591154881</v>
      </c>
      <c r="J75">
        <f t="shared" si="5"/>
        <v>0.27750509690822733</v>
      </c>
      <c r="L75">
        <f t="shared" si="2"/>
        <v>9.3830036107298636</v>
      </c>
      <c r="P75" s="8">
        <f t="shared" si="17"/>
        <v>334.94074005356839</v>
      </c>
    </row>
    <row r="76" spans="1:16">
      <c r="A76" s="21">
        <v>24</v>
      </c>
      <c r="D76" s="8"/>
      <c r="G76" s="8">
        <f t="shared" si="12"/>
        <v>35.671664843668395</v>
      </c>
      <c r="H76" s="8">
        <f t="shared" si="13"/>
        <v>35.671664843668395</v>
      </c>
      <c r="I76" s="8">
        <f t="shared" si="14"/>
        <v>35.671664843668395</v>
      </c>
      <c r="J76">
        <f t="shared" si="5"/>
        <v>0.26179726123417674</v>
      </c>
      <c r="L76">
        <f t="shared" si="2"/>
        <v>9.3387441597358531</v>
      </c>
      <c r="P76" s="8">
        <f t="shared" si="17"/>
        <v>336.53569595858522</v>
      </c>
    </row>
    <row r="77" spans="1:16">
      <c r="A77" s="21">
        <v>25</v>
      </c>
      <c r="G77" s="8">
        <f t="shared" si="12"/>
        <v>37.633606410070158</v>
      </c>
      <c r="H77" s="8">
        <f t="shared" si="13"/>
        <v>37.633606410070158</v>
      </c>
      <c r="I77" s="8">
        <f t="shared" si="14"/>
        <v>37.633606410070158</v>
      </c>
      <c r="J77">
        <f t="shared" si="5"/>
        <v>0.24697854833412899</v>
      </c>
      <c r="L77">
        <f t="shared" si="2"/>
        <v>9.2946934797370986</v>
      </c>
      <c r="P77" s="8">
        <f t="shared" si="17"/>
        <v>338.13824689172145</v>
      </c>
    </row>
    <row r="78" spans="1:16">
      <c r="A78" s="21">
        <v>26</v>
      </c>
      <c r="G78" s="8">
        <f t="shared" si="12"/>
        <v>39.703454762624013</v>
      </c>
      <c r="H78" s="8">
        <f t="shared" si="13"/>
        <v>39.703454762624013</v>
      </c>
      <c r="I78" s="8">
        <f t="shared" si="14"/>
        <v>39.703454762624013</v>
      </c>
      <c r="J78">
        <f t="shared" si="5"/>
        <v>0.23299863050389527</v>
      </c>
      <c r="L78">
        <f t="shared" si="2"/>
        <v>9.2508505859647538</v>
      </c>
      <c r="P78" s="8">
        <f t="shared" si="17"/>
        <v>339.74842901977712</v>
      </c>
    </row>
    <row r="79" spans="1:16">
      <c r="A79" s="21">
        <v>27</v>
      </c>
      <c r="G79" s="8">
        <f t="shared" si="12"/>
        <v>41.887144774568334</v>
      </c>
      <c r="H79" s="8">
        <f t="shared" si="13"/>
        <v>41.887144774568334</v>
      </c>
      <c r="I79" s="8">
        <f t="shared" si="14"/>
        <v>41.887144774568334</v>
      </c>
      <c r="J79">
        <f t="shared" si="5"/>
        <v>0.21981002877725969</v>
      </c>
      <c r="L79">
        <f t="shared" si="2"/>
        <v>9.2072144982951087</v>
      </c>
      <c r="P79" s="8">
        <f t="shared" si="17"/>
        <v>341.36627868177612</v>
      </c>
    </row>
    <row r="80" spans="1:16">
      <c r="A80" s="21">
        <v>28</v>
      </c>
      <c r="G80" s="8">
        <f t="shared" si="12"/>
        <v>44.190937737169591</v>
      </c>
      <c r="H80" s="8">
        <f t="shared" si="13"/>
        <v>44.190937737169591</v>
      </c>
      <c r="I80" s="8">
        <f t="shared" si="14"/>
        <v>44.190937737169591</v>
      </c>
      <c r="J80">
        <f t="shared" si="5"/>
        <v>0.20736795167666008</v>
      </c>
      <c r="L80">
        <f t="shared" si="2"/>
        <v>9.1637842412276775</v>
      </c>
      <c r="P80" s="8">
        <f t="shared" si="17"/>
        <v>342.99183238978452</v>
      </c>
    </row>
    <row r="81" spans="1:16">
      <c r="A81" s="21">
        <v>29</v>
      </c>
      <c r="G81" s="8">
        <f t="shared" si="12"/>
        <v>46.621439312713918</v>
      </c>
      <c r="H81" s="8">
        <f t="shared" si="13"/>
        <v>46.621439312713918</v>
      </c>
      <c r="I81" s="8">
        <f t="shared" si="14"/>
        <v>46.621439312713918</v>
      </c>
      <c r="J81">
        <f t="shared" si="5"/>
        <v>0.19563014309118876</v>
      </c>
      <c r="L81">
        <f t="shared" si="2"/>
        <v>9.120558843863396</v>
      </c>
      <c r="P81" s="8">
        <f t="shared" si="17"/>
        <v>344.6251268297359</v>
      </c>
    </row>
    <row r="82" spans="1:16">
      <c r="A82" s="21">
        <v>30</v>
      </c>
      <c r="G82" s="8">
        <f t="shared" si="12"/>
        <v>49.185618474913177</v>
      </c>
      <c r="H82" s="8">
        <f t="shared" si="13"/>
        <v>49.185618474913177</v>
      </c>
      <c r="I82" s="8">
        <f t="shared" si="14"/>
        <v>49.185618474913177</v>
      </c>
      <c r="J82">
        <f t="shared" si="5"/>
        <v>0.1845567387652724</v>
      </c>
      <c r="L82">
        <f t="shared" si="2"/>
        <v>9.0775373398829071</v>
      </c>
      <c r="P82" s="8">
        <f t="shared" si="17"/>
        <v>346.26619886225836</v>
      </c>
    </row>
    <row r="83" spans="1:16">
      <c r="A83" s="21">
        <v>31</v>
      </c>
      <c r="G83" s="8">
        <f t="shared" si="12"/>
        <v>51.890827491033399</v>
      </c>
      <c r="H83" s="8">
        <f t="shared" si="13"/>
        <v>51.890827491033399</v>
      </c>
      <c r="I83" s="8">
        <f t="shared" si="14"/>
        <v>51.890827491033399</v>
      </c>
      <c r="J83">
        <f t="shared" si="5"/>
        <v>0.17411013091063432</v>
      </c>
      <c r="L83">
        <f t="shared" si="2"/>
        <v>9.0347187675249678</v>
      </c>
      <c r="P83" s="8">
        <f t="shared" si="17"/>
        <v>347.91508552350723</v>
      </c>
    </row>
    <row r="84" spans="1:16">
      <c r="A84" s="21">
        <v>32</v>
      </c>
      <c r="G84" s="8">
        <f t="shared" si="12"/>
        <v>54.744823003040231</v>
      </c>
      <c r="H84" s="8">
        <f t="shared" si="13"/>
        <v>54.744823003040231</v>
      </c>
      <c r="I84" s="8">
        <f t="shared" si="14"/>
        <v>54.744823003040231</v>
      </c>
      <c r="J84">
        <f t="shared" si="5"/>
        <v>0.16425484048173047</v>
      </c>
      <c r="L84">
        <f t="shared" si="2"/>
        <v>8.9921021695649426</v>
      </c>
      <c r="P84" s="8">
        <f t="shared" si="17"/>
        <v>349.57182402600006</v>
      </c>
    </row>
    <row r="85" spans="1:16">
      <c r="A85" s="21">
        <v>33</v>
      </c>
      <c r="G85" s="8">
        <f t="shared" si="12"/>
        <v>57.755788268207439</v>
      </c>
      <c r="H85" s="8">
        <f t="shared" si="13"/>
        <v>57.755788268207439</v>
      </c>
      <c r="I85" s="8">
        <f t="shared" si="14"/>
        <v>57.755788268207439</v>
      </c>
      <c r="J85">
        <f t="shared" si="5"/>
        <v>0.1549573966808778</v>
      </c>
      <c r="L85">
        <f t="shared" si="2"/>
        <v>8.9496865932934089</v>
      </c>
      <c r="P85" s="8">
        <f t="shared" si="17"/>
        <v>351.23645175945722</v>
      </c>
    </row>
    <row r="86" spans="1:16">
      <c r="A86" s="21">
        <v>34</v>
      </c>
      <c r="G86" s="8">
        <f t="shared" si="12"/>
        <v>60.932356622958842</v>
      </c>
      <c r="H86" s="8">
        <f t="shared" si="13"/>
        <v>60.932356622958842</v>
      </c>
      <c r="I86" s="8">
        <f t="shared" si="14"/>
        <v>60.932356622958842</v>
      </c>
      <c r="J86">
        <f t="shared" si="5"/>
        <v>0.14618622328384698</v>
      </c>
      <c r="L86">
        <f t="shared" si="2"/>
        <v>8.9074710904948535</v>
      </c>
      <c r="P86" s="8">
        <f t="shared" si="17"/>
        <v>352.90900629164503</v>
      </c>
    </row>
    <row r="87" spans="1:16">
      <c r="A87" s="21">
        <v>35</v>
      </c>
      <c r="G87" s="8">
        <f t="shared" si="12"/>
        <v>64.283636237221572</v>
      </c>
      <c r="H87" s="8">
        <f t="shared" si="13"/>
        <v>64.283636237221572</v>
      </c>
      <c r="I87" s="8">
        <f t="shared" si="14"/>
        <v>64.283636237221572</v>
      </c>
      <c r="J87">
        <f t="shared" si="5"/>
        <v>0.13791153139985562</v>
      </c>
      <c r="L87">
        <f t="shared" si="2"/>
        <v>8.8654547174264788</v>
      </c>
      <c r="P87" s="8">
        <f t="shared" si="17"/>
        <v>354.5895253692243</v>
      </c>
    </row>
    <row r="88" spans="1:16">
      <c r="A88" s="21">
        <v>36</v>
      </c>
      <c r="G88" s="8">
        <f t="shared" si="12"/>
        <v>67.819236230268757</v>
      </c>
      <c r="H88" s="8">
        <f t="shared" si="13"/>
        <v>67.819236230268757</v>
      </c>
      <c r="I88" s="8">
        <f t="shared" si="14"/>
        <v>67.819236230268757</v>
      </c>
      <c r="J88">
        <f t="shared" si="5"/>
        <v>0.13010521830175059</v>
      </c>
      <c r="L88">
        <f t="shared" si="2"/>
        <v>8.8236365347971102</v>
      </c>
      <c r="P88" s="8">
        <f t="shared" si="17"/>
        <v>356.27804691860149</v>
      </c>
    </row>
    <row r="89" spans="1:16">
      <c r="A89" s="21">
        <v>37</v>
      </c>
      <c r="G89" s="8">
        <f t="shared" si="12"/>
        <v>71.54929422293354</v>
      </c>
      <c r="H89" s="8">
        <f t="shared" si="13"/>
        <v>71.54929422293354</v>
      </c>
      <c r="I89" s="8">
        <f t="shared" si="14"/>
        <v>71.54929422293354</v>
      </c>
      <c r="J89">
        <f t="shared" si="5"/>
        <v>0.12274077198278358</v>
      </c>
      <c r="L89">
        <f t="shared" si="2"/>
        <v>8.78201560774618</v>
      </c>
      <c r="P89" s="8">
        <f t="shared" si="17"/>
        <v>357.97460904678536</v>
      </c>
    </row>
    <row r="90" spans="1:16">
      <c r="A90" s="21">
        <v>38</v>
      </c>
      <c r="G90" s="8">
        <f t="shared" si="12"/>
        <v>75.484505405194881</v>
      </c>
      <c r="H90" s="8">
        <f t="shared" si="13"/>
        <v>75.484505405194881</v>
      </c>
      <c r="I90" s="8">
        <f t="shared" si="14"/>
        <v>75.484505405194881</v>
      </c>
      <c r="J90">
        <f t="shared" si="5"/>
        <v>0.11579318111583356</v>
      </c>
      <c r="L90">
        <f t="shared" si="2"/>
        <v>8.7405910058228482</v>
      </c>
      <c r="P90" s="8">
        <f t="shared" si="17"/>
        <v>359.67925004224622</v>
      </c>
    </row>
    <row r="91" spans="1:16">
      <c r="A91" s="21">
        <v>39</v>
      </c>
      <c r="G91" s="8">
        <f t="shared" ref="G91:G122" si="18">G90*(1+A$23+A$9)</f>
        <v>79.6361532024806</v>
      </c>
      <c r="H91" s="8">
        <f t="shared" si="13"/>
        <v>79.6361532024806</v>
      </c>
      <c r="I91" s="8">
        <f t="shared" si="14"/>
        <v>79.6361532024806</v>
      </c>
      <c r="J91">
        <f t="shared" si="5"/>
        <v>0.10923885010927693</v>
      </c>
      <c r="L91">
        <f t="shared" si="2"/>
        <v>8.6993618029651927</v>
      </c>
      <c r="P91" s="8">
        <f t="shared" si="17"/>
        <v>361.39200837578073</v>
      </c>
    </row>
    <row r="92" spans="1:16">
      <c r="A92" s="21">
        <v>40</v>
      </c>
      <c r="G92" s="8">
        <f t="shared" si="18"/>
        <v>84.016141628617021</v>
      </c>
      <c r="H92" s="8">
        <f t="shared" si="13"/>
        <v>84.016141628617021</v>
      </c>
      <c r="I92" s="8">
        <f t="shared" si="14"/>
        <v>84.016141628617021</v>
      </c>
      <c r="J92">
        <f t="shared" si="5"/>
        <v>0.10305551897101597</v>
      </c>
      <c r="L92">
        <f t="shared" si="2"/>
        <v>8.6583270774795071</v>
      </c>
      <c r="P92" s="8">
        <f t="shared" si="17"/>
        <v>363.11292270137949</v>
      </c>
    </row>
    <row r="93" spans="1:16">
      <c r="A93" s="21">
        <v>41</v>
      </c>
      <c r="G93" s="8">
        <f t="shared" si="18"/>
        <v>88.637029418190949</v>
      </c>
      <c r="H93" s="8">
        <f t="shared" si="13"/>
        <v>88.637029418190949</v>
      </c>
      <c r="I93" s="8">
        <f t="shared" si="14"/>
        <v>88.637029418190949</v>
      </c>
      <c r="J93">
        <f t="shared" si="5"/>
        <v>9.7222187708505631E-2</v>
      </c>
      <c r="L93">
        <f t="shared" si="2"/>
        <v>8.6174859120196956</v>
      </c>
      <c r="P93" s="8">
        <f t="shared" si="17"/>
        <v>364.84203185710044</v>
      </c>
    </row>
    <row r="94" spans="1:16">
      <c r="A94" s="21">
        <v>42</v>
      </c>
      <c r="G94" s="8">
        <f t="shared" si="18"/>
        <v>93.512066036191442</v>
      </c>
      <c r="H94" s="8">
        <f t="shared" si="13"/>
        <v>93.512066036191442</v>
      </c>
      <c r="I94" s="8">
        <f t="shared" si="14"/>
        <v>93.512066036191442</v>
      </c>
      <c r="J94">
        <f t="shared" si="5"/>
        <v>9.1719045008024178E-2</v>
      </c>
      <c r="L94">
        <f t="shared" si="2"/>
        <v>8.5768373935667714</v>
      </c>
      <c r="P94" s="8">
        <f t="shared" si="17"/>
        <v>366.57937486594369</v>
      </c>
    </row>
    <row r="95" spans="1:16">
      <c r="A95" s="21">
        <v>43</v>
      </c>
      <c r="G95" s="8">
        <f t="shared" si="18"/>
        <v>98.65522966818196</v>
      </c>
      <c r="H95" s="8">
        <f t="shared" si="13"/>
        <v>98.65522966818196</v>
      </c>
      <c r="I95" s="8">
        <f t="shared" si="14"/>
        <v>98.65522966818196</v>
      </c>
      <c r="J95">
        <f t="shared" si="5"/>
        <v>8.6527400950966199E-2</v>
      </c>
      <c r="L95">
        <f t="shared" si="2"/>
        <v>8.5363806134084363</v>
      </c>
      <c r="P95" s="8">
        <f t="shared" si="17"/>
        <v>368.32499093673391</v>
      </c>
    </row>
    <row r="96" spans="1:16">
      <c r="A96" s="21">
        <v>44</v>
      </c>
      <c r="G96" s="8">
        <f t="shared" si="18"/>
        <v>104.08126729993197</v>
      </c>
      <c r="H96" s="8">
        <f t="shared" si="13"/>
        <v>104.08126729993197</v>
      </c>
      <c r="I96" s="8">
        <f t="shared" si="14"/>
        <v>104.08126729993197</v>
      </c>
      <c r="J96">
        <f t="shared" si="5"/>
        <v>8.1629623538647347E-2</v>
      </c>
      <c r="L96">
        <f t="shared" si="2"/>
        <v>8.4961146671187731</v>
      </c>
      <c r="P96" s="8">
        <f t="shared" si="17"/>
        <v>370.07891946500399</v>
      </c>
    </row>
    <row r="97" spans="1:16">
      <c r="A97" s="21">
        <v>45</v>
      </c>
      <c r="G97" s="8">
        <f t="shared" si="18"/>
        <v>109.80573700142821</v>
      </c>
      <c r="H97" s="8">
        <f t="shared" si="13"/>
        <v>109.80573700142821</v>
      </c>
      <c r="I97" s="8">
        <f t="shared" si="14"/>
        <v>109.80573700142821</v>
      </c>
      <c r="J97">
        <f t="shared" si="5"/>
        <v>7.7009078810044665E-2</v>
      </c>
      <c r="L97">
        <f t="shared" si="2"/>
        <v>8.4560386545380233</v>
      </c>
      <c r="P97" s="8">
        <f t="shared" si="17"/>
        <v>371.84120003388495</v>
      </c>
    </row>
    <row r="98" spans="1:16">
      <c r="A98" s="21">
        <v>46</v>
      </c>
      <c r="G98" s="8">
        <f t="shared" si="18"/>
        <v>115.84505253650676</v>
      </c>
      <c r="H98" s="8">
        <f t="shared" si="13"/>
        <v>115.84505253650676</v>
      </c>
      <c r="I98" s="8">
        <f t="shared" si="14"/>
        <v>115.84505253650676</v>
      </c>
      <c r="J98">
        <f t="shared" si="5"/>
        <v>7.2650074349098731E-2</v>
      </c>
      <c r="L98">
        <f t="shared" si="2"/>
        <v>8.4161516797524651</v>
      </c>
      <c r="P98" s="8">
        <f t="shared" si="17"/>
        <v>373.61187241499863</v>
      </c>
    </row>
    <row r="99" spans="1:16">
      <c r="A99" s="21">
        <v>47</v>
      </c>
      <c r="G99" s="8">
        <f t="shared" si="18"/>
        <v>122.21653042601461</v>
      </c>
      <c r="H99" s="8">
        <f t="shared" si="13"/>
        <v>122.21653042601461</v>
      </c>
      <c r="I99" s="8">
        <f t="shared" si="14"/>
        <v>122.21653042601461</v>
      </c>
      <c r="J99">
        <f t="shared" si="5"/>
        <v>6.8537805989715775E-2</v>
      </c>
      <c r="L99">
        <f t="shared" si="2"/>
        <v>8.3764528510743848</v>
      </c>
      <c r="P99" s="8">
        <f t="shared" si="17"/>
        <v>375.39097656935576</v>
      </c>
    </row>
    <row r="100" spans="1:16">
      <c r="A100" s="21">
        <v>48</v>
      </c>
      <c r="G100" s="8">
        <f t="shared" si="18"/>
        <v>128.93843959944542</v>
      </c>
      <c r="H100" s="8">
        <f t="shared" si="13"/>
        <v>128.93843959944542</v>
      </c>
      <c r="I100" s="8">
        <f t="shared" si="14"/>
        <v>128.93843959944542</v>
      </c>
      <c r="J100">
        <f t="shared" si="5"/>
        <v>6.4658307537467707E-2</v>
      </c>
      <c r="L100">
        <f t="shared" si="2"/>
        <v>8.3369412810221455</v>
      </c>
      <c r="P100" s="8">
        <f t="shared" si="17"/>
        <v>377.17855264825738</v>
      </c>
    </row>
    <row r="101" spans="1:16">
      <c r="A101" s="21">
        <v>49</v>
      </c>
      <c r="G101" s="8">
        <f t="shared" si="18"/>
        <v>136.03005377741491</v>
      </c>
      <c r="H101" s="8">
        <f t="shared" si="13"/>
        <v>136.03005377741491</v>
      </c>
      <c r="I101" s="8">
        <f t="shared" si="14"/>
        <v>136.03005377741491</v>
      </c>
      <c r="J101">
        <f t="shared" si="5"/>
        <v>6.0998403337233685E-2</v>
      </c>
      <c r="L101">
        <f t="shared" si="2"/>
        <v>8.2976160863003425</v>
      </c>
      <c r="P101" s="8">
        <f t="shared" si="17"/>
        <v>378.97464099420148</v>
      </c>
    </row>
    <row r="102" spans="1:16">
      <c r="A102" s="21">
        <v>50</v>
      </c>
      <c r="G102" s="8">
        <f t="shared" si="18"/>
        <v>143.51170673517271</v>
      </c>
      <c r="H102" s="8">
        <f t="shared" si="13"/>
        <v>143.51170673517271</v>
      </c>
      <c r="I102" s="8">
        <f t="shared" si="14"/>
        <v>143.51170673517271</v>
      </c>
      <c r="J102">
        <f t="shared" si="5"/>
        <v>5.7545663525692153E-2</v>
      </c>
      <c r="L102">
        <f t="shared" si="2"/>
        <v>8.2584763877800569</v>
      </c>
      <c r="P102" s="8">
        <f t="shared" si="17"/>
        <v>380.77928214179286</v>
      </c>
    </row>
    <row r="103" spans="1:16">
      <c r="A103" s="21">
        <v>51</v>
      </c>
      <c r="G103" s="8">
        <f t="shared" si="18"/>
        <v>151.40485060560721</v>
      </c>
      <c r="H103" s="8">
        <f t="shared" si="13"/>
        <v>151.40485060560721</v>
      </c>
      <c r="I103" s="8">
        <f t="shared" si="14"/>
        <v>151.40485060560721</v>
      </c>
      <c r="J103">
        <f t="shared" si="5"/>
        <v>5.4288361816690708E-2</v>
      </c>
      <c r="L103">
        <f t="shared" si="2"/>
        <v>8.2195213104792071</v>
      </c>
      <c r="P103" s="8">
        <f t="shared" si="17"/>
        <v>382.59251681865857</v>
      </c>
    </row>
    <row r="104" spans="1:16">
      <c r="A104" s="21">
        <v>52</v>
      </c>
      <c r="G104" s="8">
        <f t="shared" si="18"/>
        <v>159.73211738891558</v>
      </c>
      <c r="H104" s="8">
        <f t="shared" si="13"/>
        <v>159.73211738891558</v>
      </c>
      <c r="I104" s="8">
        <f t="shared" si="14"/>
        <v>159.73211738891558</v>
      </c>
      <c r="J104">
        <f t="shared" si="5"/>
        <v>5.1215435676123307E-2</v>
      </c>
      <c r="L104">
        <f t="shared" si="2"/>
        <v>8.1807499835429827</v>
      </c>
      <c r="P104" s="8">
        <f t="shared" si="17"/>
        <v>384.41438594636639</v>
      </c>
    </row>
    <row r="105" spans="1:16">
      <c r="A105" s="21">
        <v>53</v>
      </c>
      <c r="G105" s="8">
        <f t="shared" si="18"/>
        <v>168.51738384530594</v>
      </c>
      <c r="H105" s="8">
        <f t="shared" si="13"/>
        <v>168.51738384530594</v>
      </c>
      <c r="I105" s="8">
        <f t="shared" si="14"/>
        <v>168.51738384530594</v>
      </c>
      <c r="J105">
        <f t="shared" si="5"/>
        <v>4.8316448751059719E-2</v>
      </c>
      <c r="L105">
        <f t="shared" si="2"/>
        <v>8.1421615402243841</v>
      </c>
      <c r="P105" s="8">
        <f t="shared" si="17"/>
        <v>386.24493064134913</v>
      </c>
    </row>
    <row r="106" spans="1:16">
      <c r="A106" s="21">
        <v>54</v>
      </c>
      <c r="G106" s="8">
        <f t="shared" si="18"/>
        <v>177.78583995679776</v>
      </c>
      <c r="H106" s="8">
        <f t="shared" si="13"/>
        <v>177.78583995679776</v>
      </c>
      <c r="I106" s="8">
        <f t="shared" si="14"/>
        <v>177.78583995679776</v>
      </c>
      <c r="J106">
        <f t="shared" si="5"/>
        <v>4.5581555425528032E-2</v>
      </c>
      <c r="L106">
        <f t="shared" si="2"/>
        <v>8.1037551178648339</v>
      </c>
      <c r="P106" s="8">
        <f t="shared" si="17"/>
        <v>388.08419221583165</v>
      </c>
    </row>
    <row r="107" spans="1:16">
      <c r="A107" s="21">
        <v>55</v>
      </c>
      <c r="G107" s="8">
        <f t="shared" si="18"/>
        <v>187.56406115442164</v>
      </c>
      <c r="H107" s="8">
        <f t="shared" si="13"/>
        <v>187.56406115442164</v>
      </c>
      <c r="I107" s="8">
        <f t="shared" si="14"/>
        <v>187.56406115442164</v>
      </c>
      <c r="J107">
        <f t="shared" si="5"/>
        <v>4.3001467382573613E-2</v>
      </c>
      <c r="L107">
        <f t="shared" si="2"/>
        <v>8.0655298578749051</v>
      </c>
      <c r="P107" s="8">
        <f t="shared" si="17"/>
        <v>389.93221217876425</v>
      </c>
    </row>
    <row r="108" spans="1:16">
      <c r="A108" s="21">
        <v>56</v>
      </c>
      <c r="G108" s="8">
        <f t="shared" si="18"/>
        <v>197.88008451791481</v>
      </c>
      <c r="H108" s="8">
        <f t="shared" si="13"/>
        <v>197.88008451791481</v>
      </c>
      <c r="I108" s="8">
        <f t="shared" si="14"/>
        <v>197.88008451791481</v>
      </c>
      <c r="J108">
        <f t="shared" si="5"/>
        <v>4.0567422059031709E-2</v>
      </c>
      <c r="L108">
        <f t="shared" si="2"/>
        <v>8.0274849057151165</v>
      </c>
      <c r="P108" s="8">
        <f t="shared" si="17"/>
        <v>391.7890322367582</v>
      </c>
    </row>
    <row r="109" spans="1:16">
      <c r="A109" s="21">
        <v>57</v>
      </c>
      <c r="G109" s="8">
        <f t="shared" si="18"/>
        <v>208.76348916640012</v>
      </c>
      <c r="H109" s="8">
        <f t="shared" si="13"/>
        <v>208.76348916640012</v>
      </c>
      <c r="I109" s="8">
        <f t="shared" si="14"/>
        <v>208.76348916640012</v>
      </c>
      <c r="J109">
        <f t="shared" si="5"/>
        <v>3.827115288587897E-2</v>
      </c>
      <c r="L109">
        <f t="shared" si="2"/>
        <v>7.9896194108768368</v>
      </c>
      <c r="P109" s="8">
        <f t="shared" si="17"/>
        <v>393.65469429502855</v>
      </c>
    </row>
    <row r="110" spans="1:16">
      <c r="A110" s="21">
        <v>58</v>
      </c>
      <c r="G110" s="8">
        <f t="shared" si="18"/>
        <v>220.2454810705521</v>
      </c>
      <c r="H110" s="8">
        <f t="shared" si="13"/>
        <v>220.2454810705521</v>
      </c>
      <c r="I110" s="8">
        <f t="shared" si="14"/>
        <v>220.2454810705521</v>
      </c>
      <c r="J110">
        <f t="shared" si="5"/>
        <v>3.6104861213093364E-2</v>
      </c>
      <c r="L110">
        <f t="shared" si="2"/>
        <v>7.9519325268632652</v>
      </c>
      <c r="P110" s="8">
        <f t="shared" si="17"/>
        <v>395.52924045833811</v>
      </c>
    </row>
    <row r="111" spans="1:16">
      <c r="A111" s="21">
        <v>59</v>
      </c>
      <c r="G111" s="8">
        <f t="shared" si="18"/>
        <v>232.35898252943247</v>
      </c>
      <c r="H111" s="8">
        <f t="shared" si="13"/>
        <v>232.35898252943247</v>
      </c>
      <c r="I111" s="8">
        <f t="shared" si="14"/>
        <v>232.35898252943247</v>
      </c>
      <c r="J111">
        <f t="shared" si="5"/>
        <v>3.4061189823672983E-2</v>
      </c>
      <c r="L111">
        <f t="shared" si="2"/>
        <v>7.9144234111705138</v>
      </c>
      <c r="P111" s="8">
        <f t="shared" si="17"/>
        <v>397.41271303194929</v>
      </c>
    </row>
    <row r="112" spans="1:16">
      <c r="A112" s="21">
        <v>60</v>
      </c>
      <c r="G112" s="8">
        <f t="shared" si="18"/>
        <v>245.13872656855125</v>
      </c>
      <c r="H112" s="8">
        <f t="shared" si="13"/>
        <v>245.13872656855125</v>
      </c>
      <c r="I112" s="8">
        <f t="shared" si="14"/>
        <v>245.13872656855125</v>
      </c>
      <c r="J112">
        <f t="shared" si="5"/>
        <v>3.21331979468613E-2</v>
      </c>
      <c r="L112">
        <f t="shared" si="2"/>
        <v>7.8770912252687646</v>
      </c>
      <c r="P112" s="8">
        <f t="shared" si="17"/>
        <v>399.3051545225776</v>
      </c>
    </row>
    <row r="113" spans="1:16">
      <c r="A113" s="21">
        <v>61</v>
      </c>
      <c r="G113" s="8">
        <f t="shared" si="18"/>
        <v>258.62135652982153</v>
      </c>
      <c r="H113" s="8">
        <f t="shared" si="13"/>
        <v>258.62135652982153</v>
      </c>
      <c r="I113" s="8">
        <f t="shared" si="14"/>
        <v>258.62135652982153</v>
      </c>
      <c r="J113">
        <f t="shared" si="5"/>
        <v>3.0314337685718205E-2</v>
      </c>
      <c r="L113">
        <f t="shared" si="2"/>
        <v>7.8399351345835324</v>
      </c>
      <c r="P113" s="8">
        <f t="shared" si="17"/>
        <v>401.20660763935172</v>
      </c>
    </row>
    <row r="114" spans="1:16">
      <c r="A114" s="21">
        <v>62</v>
      </c>
      <c r="G114" s="8">
        <f t="shared" si="18"/>
        <v>272.84553113896169</v>
      </c>
      <c r="H114" s="8">
        <f t="shared" si="13"/>
        <v>272.84553113896169</v>
      </c>
      <c r="I114" s="8">
        <f t="shared" si="14"/>
        <v>272.84553113896169</v>
      </c>
      <c r="J114">
        <f t="shared" si="5"/>
        <v>2.8598431778979437E-2</v>
      </c>
      <c r="L114">
        <f t="shared" si="2"/>
        <v>7.8029543084770054</v>
      </c>
      <c r="P114" s="8">
        <f t="shared" si="17"/>
        <v>403.11711529477714</v>
      </c>
    </row>
    <row r="115" spans="1:16">
      <c r="A115" s="21">
        <v>63</v>
      </c>
      <c r="G115" s="8">
        <f t="shared" si="18"/>
        <v>287.85203535160457</v>
      </c>
      <c r="H115" s="8">
        <f t="shared" si="13"/>
        <v>287.85203535160457</v>
      </c>
      <c r="I115" s="8">
        <f t="shared" si="14"/>
        <v>287.85203535160457</v>
      </c>
      <c r="J115">
        <f t="shared" si="5"/>
        <v>2.6979652621678712E-2</v>
      </c>
      <c r="L115">
        <f t="shared" si="2"/>
        <v>7.7661479202294714</v>
      </c>
      <c r="P115" s="8">
        <f t="shared" si="17"/>
        <v>405.03672060570466</v>
      </c>
    </row>
    <row r="116" spans="1:16">
      <c r="A116" s="21">
        <v>64</v>
      </c>
      <c r="G116" s="8">
        <f t="shared" si="18"/>
        <v>303.68389729594281</v>
      </c>
      <c r="H116" s="8">
        <f t="shared" si="13"/>
        <v>303.68389729594281</v>
      </c>
      <c r="I116" s="8">
        <f t="shared" si="14"/>
        <v>303.68389729594281</v>
      </c>
      <c r="J116">
        <f t="shared" si="5"/>
        <v>2.5452502473281801E-2</v>
      </c>
      <c r="L116">
        <f t="shared" si="2"/>
        <v>7.729515147020841</v>
      </c>
      <c r="P116" s="8">
        <f t="shared" si="17"/>
        <v>406.96546689430318</v>
      </c>
    </row>
    <row r="117" spans="1:16">
      <c r="A117" s="21">
        <v>65</v>
      </c>
      <c r="G117" s="8">
        <f t="shared" si="18"/>
        <v>320.38651164721966</v>
      </c>
      <c r="H117" s="8">
        <f t="shared" si="13"/>
        <v>320.38651164721966</v>
      </c>
      <c r="I117" s="8">
        <f t="shared" si="14"/>
        <v>320.38651164721966</v>
      </c>
      <c r="J117">
        <f t="shared" si="5"/>
        <v>2.4011794786114905E-2</v>
      </c>
      <c r="L117">
        <f t="shared" si="2"/>
        <v>7.6930551699122516</v>
      </c>
      <c r="P117" s="8">
        <f t="shared" si="17"/>
        <v>408.903397689038</v>
      </c>
    </row>
    <row r="118" spans="1:16">
      <c r="A118" s="21">
        <v>66</v>
      </c>
      <c r="G118" s="8">
        <f t="shared" si="18"/>
        <v>338.0077697878167</v>
      </c>
      <c r="H118" s="8">
        <f t="shared" si="13"/>
        <v>338.0077697878167</v>
      </c>
      <c r="I118" s="8">
        <f t="shared" si="14"/>
        <v>338.0077697878167</v>
      </c>
      <c r="J118">
        <f t="shared" si="5"/>
        <v>2.2652636590674437E-2</v>
      </c>
      <c r="L118">
        <f t="shared" ref="L118:L121" si="19">I118*J118</f>
        <v>7.6567671738277578</v>
      </c>
      <c r="P118" s="8">
        <f t="shared" si="17"/>
        <v>410.85055672565238</v>
      </c>
    </row>
    <row r="119" spans="1:16">
      <c r="A119" s="21">
        <v>67</v>
      </c>
      <c r="G119" s="8">
        <f t="shared" si="18"/>
        <v>356.5981971261466</v>
      </c>
      <c r="H119" s="8">
        <f t="shared" si="13"/>
        <v>356.5981971261466</v>
      </c>
      <c r="I119" s="8">
        <f t="shared" si="14"/>
        <v>356.5981971261466</v>
      </c>
      <c r="J119">
        <f t="shared" ref="J119:J122" si="20">J118/(1+A$32)</f>
        <v>2.1370411877994752E-2</v>
      </c>
      <c r="L119">
        <f t="shared" si="19"/>
        <v>7.6206503475361176</v>
      </c>
      <c r="P119" s="8">
        <f t="shared" si="17"/>
        <v>412.80698794815549</v>
      </c>
    </row>
    <row r="120" spans="1:16">
      <c r="A120" s="21">
        <v>68</v>
      </c>
      <c r="G120" s="8">
        <f t="shared" si="18"/>
        <v>376.21109796808463</v>
      </c>
      <c r="H120" s="8">
        <f t="shared" si="13"/>
        <v>376.21109796808463</v>
      </c>
      <c r="I120" s="8">
        <f t="shared" si="14"/>
        <v>376.21109796808463</v>
      </c>
      <c r="J120">
        <f t="shared" si="20"/>
        <v>2.0160765922636558E-2</v>
      </c>
      <c r="L120">
        <f t="shared" si="19"/>
        <v>7.5847038836326446</v>
      </c>
      <c r="P120" s="8">
        <f t="shared" si="17"/>
        <v>414.77273550981334</v>
      </c>
    </row>
    <row r="121" spans="1:16">
      <c r="A121" s="21">
        <v>69</v>
      </c>
      <c r="G121" s="8">
        <f t="shared" si="18"/>
        <v>396.90270835632924</v>
      </c>
      <c r="H121" s="8">
        <f t="shared" si="13"/>
        <v>396.90270835632924</v>
      </c>
      <c r="I121" s="8">
        <f t="shared" si="14"/>
        <v>396.90270835632924</v>
      </c>
      <c r="J121">
        <f t="shared" si="20"/>
        <v>1.9019590493053355E-2</v>
      </c>
      <c r="L121">
        <f t="shared" si="19"/>
        <v>7.5489269785211679</v>
      </c>
      <c r="P121" s="8">
        <f t="shared" si="17"/>
        <v>416.74784377414574</v>
      </c>
    </row>
    <row r="122" spans="1:16">
      <c r="A122" s="25">
        <v>70</v>
      </c>
      <c r="B122" s="11"/>
      <c r="C122" s="11"/>
      <c r="D122" s="11"/>
      <c r="E122" s="11"/>
      <c r="F122" s="11"/>
      <c r="G122" s="10">
        <f t="shared" si="18"/>
        <v>418.73235731592735</v>
      </c>
      <c r="H122" s="10">
        <f t="shared" si="13"/>
        <v>418.73235731592735</v>
      </c>
      <c r="I122" s="10">
        <f>H122</f>
        <v>418.73235731592735</v>
      </c>
      <c r="J122" s="11">
        <f t="shared" si="20"/>
        <v>1.7943009899106938E-2</v>
      </c>
      <c r="K122" s="11"/>
      <c r="L122" s="33">
        <f>I122*J122+A27*(1+A9)^70/(1+A32)^70</f>
        <v>17.046986500616278</v>
      </c>
      <c r="N122" s="11"/>
      <c r="O122" s="11"/>
      <c r="P122" s="10">
        <f>G122*(1+A$33)^(70-A122)+A27*(1+A9)^70</f>
        <v>981.94264283309712</v>
      </c>
    </row>
    <row r="123" spans="1:16">
      <c r="I123" s="28"/>
      <c r="K123" s="26">
        <f>SUM(K53:K74)</f>
        <v>-1186.1095567207917</v>
      </c>
      <c r="L123" s="26">
        <f>SUM(L53:L122)</f>
        <v>-1345.9832022372971</v>
      </c>
      <c r="N123">
        <f>ABS(SUM(N53:N74))</f>
        <v>2092.9452374106686</v>
      </c>
      <c r="O123" s="26">
        <f>SUM(O58:O74)</f>
        <v>2590.5477915392512</v>
      </c>
      <c r="P123" s="8">
        <f>SUM(P58:P122)</f>
        <v>24035.334393786623</v>
      </c>
    </row>
    <row r="124" spans="1:16">
      <c r="I124" s="29"/>
      <c r="K124" s="29" t="s">
        <v>36</v>
      </c>
      <c r="L124" s="29" t="s">
        <v>35</v>
      </c>
      <c r="N124" s="29" t="s">
        <v>56</v>
      </c>
      <c r="O124" s="29" t="s">
        <v>64</v>
      </c>
      <c r="P124" s="29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Dejan Trajkovski</dc:creator>
  <cp:lastModifiedBy>QT</cp:lastModifiedBy>
  <dcterms:created xsi:type="dcterms:W3CDTF">2025-06-07T16:57:49Z</dcterms:created>
  <dcterms:modified xsi:type="dcterms:W3CDTF">2025-06-17T10:44:23Z</dcterms:modified>
</cp:coreProperties>
</file>